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루프탑,리파워링계약서\수정 양식\"/>
    </mc:Choice>
  </mc:AlternateContent>
  <xr:revisionPtr revIDLastSave="0" documentId="13_ncr:1_{E3C2D57D-FB34-4958-A771-F6314D59DB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계약서" sheetId="2" r:id="rId1"/>
    <sheet name="견적서" sheetId="6" r:id="rId2"/>
    <sheet name="수익예상분석표" sheetId="4" r:id="rId3"/>
    <sheet name="예상수익표" sheetId="5" r:id="rId4"/>
  </sheets>
  <definedNames>
    <definedName name="_xlnm.Print_Area" localSheetId="1">견적서!$A$1:$G$41</definedName>
    <definedName name="_xlnm.Print_Area" localSheetId="0">계약서!$A$1:$L$116</definedName>
    <definedName name="_xlnm.Print_Area" localSheetId="2">수익예상분석표!$A$1:$N$19</definedName>
    <definedName name="_xlnm.Print_Area" localSheetId="3">예상수익표!$A$1:$E$25</definedName>
  </definedNames>
  <calcPr calcId="191029"/>
</workbook>
</file>

<file path=xl/calcChain.xml><?xml version="1.0" encoding="utf-8"?>
<calcChain xmlns="http://schemas.openxmlformats.org/spreadsheetml/2006/main">
  <c r="K69" i="2" l="1"/>
  <c r="D69" i="2"/>
  <c r="G68" i="2"/>
  <c r="D68" i="2"/>
  <c r="J43" i="2"/>
  <c r="J44" i="2" s="1"/>
  <c r="F44" i="2" s="1"/>
  <c r="F43" i="2" l="1"/>
  <c r="J45" i="2"/>
  <c r="F45" i="2" s="1"/>
  <c r="C6" i="2" l="1"/>
  <c r="E6" i="6" l="1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25" i="5" l="1"/>
  <c r="F5" i="4" l="1"/>
  <c r="L52" i="2"/>
  <c r="D16" i="6"/>
  <c r="B7" i="6"/>
  <c r="B8" i="6"/>
  <c r="I30" i="6"/>
  <c r="B6" i="6"/>
  <c r="D18" i="6" l="1"/>
  <c r="D22" i="6"/>
  <c r="D27" i="6"/>
  <c r="D25" i="6"/>
  <c r="D26" i="6"/>
  <c r="D17" i="6"/>
  <c r="D20" i="6"/>
  <c r="D28" i="6"/>
  <c r="D23" i="6"/>
  <c r="D24" i="6"/>
  <c r="D21" i="6"/>
  <c r="D19" i="6"/>
  <c r="F28" i="6" l="1"/>
  <c r="E42" i="2" l="1"/>
  <c r="B5" i="5" s="1"/>
  <c r="E41" i="2"/>
  <c r="B6" i="5" l="1"/>
  <c r="C5" i="5"/>
  <c r="E5" i="5" s="1"/>
  <c r="J14" i="6"/>
  <c r="E16" i="6" l="1"/>
  <c r="F16" i="6" s="1"/>
  <c r="E20" i="6"/>
  <c r="F20" i="6" s="1"/>
  <c r="C6" i="5"/>
  <c r="E6" i="5" s="1"/>
  <c r="B7" i="5"/>
  <c r="G19" i="4"/>
  <c r="E27" i="6"/>
  <c r="F27" i="6" s="1"/>
  <c r="E19" i="6"/>
  <c r="F19" i="6" s="1"/>
  <c r="E24" i="6"/>
  <c r="F24" i="6" s="1"/>
  <c r="E23" i="6"/>
  <c r="F23" i="6" s="1"/>
  <c r="E21" i="6"/>
  <c r="F21" i="6" s="1"/>
  <c r="E17" i="6"/>
  <c r="F17" i="6" s="1"/>
  <c r="E25" i="6"/>
  <c r="F25" i="6" s="1"/>
  <c r="E22" i="6"/>
  <c r="F22" i="6" s="1"/>
  <c r="E18" i="6"/>
  <c r="F18" i="6" s="1"/>
  <c r="E26" i="6"/>
  <c r="F26" i="6" s="1"/>
  <c r="C7" i="5" l="1"/>
  <c r="E7" i="5" s="1"/>
  <c r="B8" i="5"/>
  <c r="F30" i="6"/>
  <c r="F6" i="4"/>
  <c r="P7" i="4"/>
  <c r="S7" i="4" s="1"/>
  <c r="P6" i="4"/>
  <c r="S6" i="4" s="1"/>
  <c r="C8" i="5" l="1"/>
  <c r="E8" i="5" s="1"/>
  <c r="B9" i="5"/>
  <c r="F14" i="6"/>
  <c r="B14" i="6"/>
  <c r="H10" i="4"/>
  <c r="B10" i="5" l="1"/>
  <c r="C9" i="5"/>
  <c r="E9" i="5" s="1"/>
  <c r="F7" i="4"/>
  <c r="D18" i="4"/>
  <c r="C10" i="5" l="1"/>
  <c r="E10" i="5" s="1"/>
  <c r="B11" i="5"/>
  <c r="D19" i="4"/>
  <c r="J19" i="4" s="1"/>
  <c r="C11" i="5" l="1"/>
  <c r="E11" i="5" s="1"/>
  <c r="B12" i="5"/>
  <c r="G18" i="4"/>
  <c r="J18" i="4" s="1"/>
  <c r="C12" i="5" l="1"/>
  <c r="E12" i="5" s="1"/>
  <c r="B13" i="5"/>
  <c r="C13" i="5" l="1"/>
  <c r="E13" i="5" s="1"/>
  <c r="B14" i="5"/>
  <c r="C14" i="5" l="1"/>
  <c r="E14" i="5" s="1"/>
  <c r="B15" i="5"/>
  <c r="B16" i="5" l="1"/>
  <c r="C15" i="5"/>
  <c r="E15" i="5" l="1"/>
  <c r="C16" i="5"/>
  <c r="E16" i="5" s="1"/>
  <c r="B17" i="5"/>
  <c r="C17" i="5" l="1"/>
  <c r="E17" i="5" s="1"/>
  <c r="B18" i="5"/>
  <c r="C18" i="5" l="1"/>
  <c r="B19" i="5"/>
  <c r="B20" i="5" l="1"/>
  <c r="C19" i="5"/>
  <c r="E19" i="5" s="1"/>
  <c r="E18" i="5"/>
  <c r="C20" i="5" l="1"/>
  <c r="B21" i="5"/>
  <c r="C21" i="5" l="1"/>
  <c r="E21" i="5" s="1"/>
  <c r="B22" i="5"/>
  <c r="E20" i="5"/>
  <c r="C22" i="5" l="1"/>
  <c r="B23" i="5"/>
  <c r="B24" i="5" l="1"/>
  <c r="C24" i="5" s="1"/>
  <c r="E24" i="5" s="1"/>
  <c r="C23" i="5"/>
  <c r="E23" i="5" s="1"/>
  <c r="B25" i="5"/>
  <c r="E22" i="5"/>
  <c r="C25" i="5"/>
  <c r="E25" i="5" l="1"/>
</calcChain>
</file>

<file path=xl/sharedStrings.xml><?xml version="1.0" encoding="utf-8"?>
<sst xmlns="http://schemas.openxmlformats.org/spreadsheetml/2006/main" count="238" uniqueCount="204">
  <si>
    <t xml:space="preserve">  *중도 상환시  보증보험료는 기간에따라 발주자에게 1/n 반환 된다</t>
  </si>
  <si>
    <t>연순이익(원)</t>
  </si>
  <si>
    <t>전기안전관리자</t>
  </si>
  <si>
    <t>일평균 일조량</t>
  </si>
  <si>
    <t>인터넷회선비</t>
  </si>
  <si>
    <t>구조물 설치공사</t>
  </si>
  <si>
    <t xml:space="preserve">E-mail   </t>
  </si>
  <si>
    <t>지출(이자+원금+안전관리자)</t>
  </si>
  <si>
    <t>공급가액</t>
  </si>
  <si>
    <t>수입(원)</t>
  </si>
  <si>
    <t>전기공사</t>
  </si>
  <si>
    <t>등록번호</t>
  </si>
  <si>
    <t>대표자명</t>
  </si>
  <si>
    <t>공사단가</t>
  </si>
  <si>
    <t>모듈 효율</t>
  </si>
  <si>
    <t>설비용량</t>
  </si>
  <si>
    <t>항목</t>
  </si>
  <si>
    <t>설비효율</t>
  </si>
  <si>
    <t>% / 년</t>
  </si>
  <si>
    <t>h / 일</t>
  </si>
  <si>
    <t>시설용량</t>
  </si>
  <si>
    <t>설계용량</t>
  </si>
  <si>
    <t>수익</t>
  </si>
  <si>
    <t>태양광모듈</t>
  </si>
  <si>
    <t>비율</t>
  </si>
  <si>
    <t>계약조건</t>
  </si>
  <si>
    <t>전화번호</t>
  </si>
  <si>
    <t>비고</t>
  </si>
  <si>
    <t>고정형</t>
  </si>
  <si>
    <t>단가</t>
  </si>
  <si>
    <t>운영비</t>
  </si>
  <si>
    <t>지출(원)</t>
  </si>
  <si>
    <t>수량</t>
  </si>
  <si>
    <t>매출액</t>
  </si>
  <si>
    <t>단위</t>
  </si>
  <si>
    <t>산출내역</t>
  </si>
  <si>
    <t>유지보수</t>
  </si>
  <si>
    <t>원 / 월</t>
  </si>
  <si>
    <t>품명</t>
  </si>
  <si>
    <t>년차</t>
  </si>
  <si>
    <t>내용</t>
  </si>
  <si>
    <t>번호</t>
  </si>
  <si>
    <t>합계</t>
  </si>
  <si>
    <t>구분</t>
  </si>
  <si>
    <t>인버터</t>
  </si>
  <si>
    <t>일반관리비 및 경비</t>
  </si>
  <si>
    <t>태양광 발전 예상수익표</t>
  </si>
  <si>
    <t>합계(VAT 별도)</t>
  </si>
  <si>
    <t>SMP(한전)+REC(전력거래소)</t>
  </si>
  <si>
    <t>원</t>
  </si>
  <si>
    <t>(인)</t>
    <phoneticPr fontId="15" type="noConversion"/>
  </si>
  <si>
    <t>kW</t>
    <phoneticPr fontId="15" type="noConversion"/>
  </si>
  <si>
    <t>건물 지붕형 태양광 발전소</t>
    <phoneticPr fontId="15" type="noConversion"/>
  </si>
  <si>
    <t>설치용량</t>
    <phoneticPr fontId="15" type="noConversion"/>
  </si>
  <si>
    <t>준공일</t>
    <phoneticPr fontId="15" type="noConversion"/>
  </si>
  <si>
    <t>정책자금</t>
    <phoneticPr fontId="15" type="noConversion"/>
  </si>
  <si>
    <t>사양</t>
    <phoneticPr fontId="15" type="noConversion"/>
  </si>
  <si>
    <t>특약</t>
    <phoneticPr fontId="15" type="noConversion"/>
  </si>
  <si>
    <t>공사명</t>
    <phoneticPr fontId="15" type="noConversion"/>
  </si>
  <si>
    <t>전력생산량(kWh)</t>
    <phoneticPr fontId="15" type="noConversion"/>
  </si>
  <si>
    <t>공사금액:</t>
    <phoneticPr fontId="15" type="noConversion"/>
  </si>
  <si>
    <t>견 적 일</t>
    <phoneticPr fontId="15" type="noConversion"/>
  </si>
  <si>
    <t>수 신 처</t>
    <phoneticPr fontId="15" type="noConversion"/>
  </si>
  <si>
    <t>상      호</t>
    <phoneticPr fontId="15" type="noConversion"/>
  </si>
  <si>
    <t>주      소</t>
    <phoneticPr fontId="15" type="noConversion"/>
  </si>
  <si>
    <t>태양광 발전소 시공계약서</t>
    <phoneticPr fontId="15" type="noConversion"/>
  </si>
  <si>
    <t>태양광 발전소 견적서</t>
    <phoneticPr fontId="15" type="noConversion"/>
  </si>
  <si>
    <t>아래와 같이 견적합니다.</t>
    <phoneticPr fontId="15" type="noConversion"/>
  </si>
  <si>
    <t>설계 및 구조 계산</t>
    <phoneticPr fontId="15" type="noConversion"/>
  </si>
  <si>
    <t>구조물제작</t>
    <phoneticPr fontId="15" type="noConversion"/>
  </si>
  <si>
    <t>산재및하자보증</t>
    <phoneticPr fontId="15" type="noConversion"/>
  </si>
  <si>
    <t>감리및인허가 비용</t>
    <phoneticPr fontId="15" type="noConversion"/>
  </si>
  <si>
    <r>
      <t xml:space="preserve">첨부 : 1. 태양광 발전소 공사계약조건 1부. </t>
    </r>
    <r>
      <rPr>
        <sz val="11"/>
        <color rgb="FF000000"/>
        <rFont val="맑은 고딕"/>
        <family val="3"/>
        <charset val="129"/>
      </rPr>
      <t>위임장1부,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사용인감계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3부</t>
    </r>
    <phoneticPr fontId="15" type="noConversion"/>
  </si>
  <si>
    <t>제2조[용어정의]</t>
  </si>
  <si>
    <t>제3조</t>
  </si>
  <si>
    <t>제5조</t>
  </si>
  <si>
    <t>제7조</t>
  </si>
  <si>
    <t>제8조</t>
  </si>
  <si>
    <t>제9조</t>
  </si>
  <si>
    <t>제10조</t>
  </si>
  <si>
    <t xml:space="preserve">제11조 </t>
  </si>
  <si>
    <t>제1조[ 계약목적]</t>
  </si>
  <si>
    <t>이 조건에서 사용하는 용어의 정의는 다음과 같다.</t>
    <phoneticPr fontId="15" type="noConversion"/>
  </si>
  <si>
    <t>마진</t>
    <phoneticPr fontId="15" type="noConversion"/>
  </si>
  <si>
    <r>
      <t>k</t>
    </r>
    <r>
      <rPr>
        <sz val="11"/>
        <color rgb="FF000000"/>
        <rFont val="맑은 고딕"/>
        <family val="3"/>
        <charset val="129"/>
      </rPr>
      <t>W</t>
    </r>
    <phoneticPr fontId="15" type="noConversion"/>
  </si>
  <si>
    <t>kW</t>
  </si>
  <si>
    <t>설치주소</t>
    <phoneticPr fontId="15" type="noConversion"/>
  </si>
  <si>
    <t>설  치  주  소</t>
    <phoneticPr fontId="15" type="noConversion"/>
  </si>
  <si>
    <t>상           호</t>
    <phoneticPr fontId="15" type="noConversion"/>
  </si>
  <si>
    <t>대    표    님</t>
    <phoneticPr fontId="15" type="noConversion"/>
  </si>
  <si>
    <t>연    락    처</t>
    <phoneticPr fontId="15" type="noConversion"/>
  </si>
  <si>
    <t>비          고</t>
    <phoneticPr fontId="15" type="noConversion"/>
  </si>
  <si>
    <t>견적금액 (부가세 별도)</t>
    <phoneticPr fontId="15" type="noConversion"/>
  </si>
  <si>
    <t>VAT별도</t>
    <phoneticPr fontId="15" type="noConversion"/>
  </si>
  <si>
    <t>총공사비</t>
    <phoneticPr fontId="15" type="noConversion"/>
  </si>
  <si>
    <t>kW/원</t>
    <phoneticPr fontId="15" type="noConversion"/>
  </si>
  <si>
    <t>한전선로연계비</t>
    <phoneticPr fontId="15" type="noConversion"/>
  </si>
  <si>
    <t>분전함/수,배전반</t>
    <phoneticPr fontId="15" type="noConversion"/>
  </si>
  <si>
    <t>포스맥/알루미늄</t>
    <phoneticPr fontId="15" type="noConversion"/>
  </si>
  <si>
    <t>사업분석 예상수익보고서</t>
    <phoneticPr fontId="15" type="noConversion"/>
  </si>
  <si>
    <t>한화/현대/효성 설계 후 선택</t>
    <phoneticPr fontId="15" type="noConversion"/>
  </si>
  <si>
    <t>안전사다리/발판</t>
    <phoneticPr fontId="15" type="noConversion"/>
  </si>
  <si>
    <t>현금/팩토링</t>
    <phoneticPr fontId="15" type="noConversion"/>
  </si>
  <si>
    <t>사업/설치기간</t>
    <phoneticPr fontId="15" type="noConversion"/>
  </si>
  <si>
    <t>값</t>
  </si>
  <si>
    <t>90 이상</t>
  </si>
  <si>
    <t>50~89</t>
  </si>
  <si>
    <t>30~49</t>
  </si>
  <si>
    <t>반환값</t>
    <phoneticPr fontId="15" type="noConversion"/>
  </si>
  <si>
    <t>30 미만</t>
    <phoneticPr fontId="15" type="noConversion"/>
  </si>
  <si>
    <t>에이치에너지솔루션 주식회사</t>
    <phoneticPr fontId="15" type="noConversion"/>
  </si>
  <si>
    <t xml:space="preserve">"갑"은 본 공사와 관련된 서류 및 모든 대관업무에 협조해야한다. </t>
    <phoneticPr fontId="15" type="noConversion"/>
  </si>
  <si>
    <t>제4조</t>
    <phoneticPr fontId="15" type="noConversion"/>
  </si>
  <si>
    <t>개발행위허가의 지연시 계약기간은 연장된다.</t>
    <phoneticPr fontId="15" type="noConversion"/>
  </si>
  <si>
    <t>"을"은 "갑"에게서 받은 서류(인감증명포함) 일체를 발전사업의 목적이외로 사용할 수 없다.</t>
    <phoneticPr fontId="15" type="noConversion"/>
  </si>
  <si>
    <t>2) “설치기간”이라 함은 위 계약의 체결 일로부터 “사업내역서”에 따라 본 사업의 설치가 완료되고 “갑” 의 완료 검사를 득한 날 까지를 말한다.</t>
  </si>
  <si>
    <t>4) “사업금액”이라 함은 본 사업에 소요되는 총 공사금액에 소요되는 비용을 말한다.</t>
  </si>
  <si>
    <t>5) “한전선로연계비”라 함은 본 사업을 위한 사업비용으로 "한전"에 납부하는 기본 경비를 말한다.</t>
    <phoneticPr fontId="15" type="noConversion"/>
  </si>
  <si>
    <t xml:space="preserve">※ 지정계좌(국민) : 038701-04-596211 	</t>
    <phoneticPr fontId="15" type="noConversion"/>
  </si>
  <si>
    <t>금융시행사 : 에이치에너지솔루션㈜</t>
    <phoneticPr fontId="15" type="noConversion"/>
  </si>
  <si>
    <t>류 복 남</t>
    <phoneticPr fontId="15" type="noConversion"/>
  </si>
  <si>
    <t>한화/현대 OEM (양면)</t>
    <phoneticPr fontId="15" type="noConversion"/>
  </si>
  <si>
    <t>규격(WP)</t>
    <phoneticPr fontId="15" type="noConversion"/>
  </si>
  <si>
    <t>설치장수</t>
    <phoneticPr fontId="15" type="noConversion"/>
  </si>
  <si>
    <t>발주자 (이하"갑“이라 함)와 수급자(이하 ”을“ "병"이라 함)는 상호 대등한 입장에서 위의 계약을 체결하고
신의에 따라 성실히 계약상의 내용을 숙지하였으며 이에 의무를 이행할 것을 확약한다.</t>
    <phoneticPr fontId="15" type="noConversion"/>
  </si>
  <si>
    <t>서울시 중랑구 면목로44길 28, 아람플러스 3층 전관</t>
    <phoneticPr fontId="15" type="noConversion"/>
  </si>
  <si>
    <t>본 계약 일반 조건은 위 계약서의 “갑”과 “을"이 태양광 설치 사업을 시행함에 있어 규정에 의한 계약문서에서 정하는 바에 따른 권리와 의무를 명확하게 정함을 그 목적으로 한다.</t>
    <phoneticPr fontId="15" type="noConversion"/>
  </si>
  <si>
    <r>
      <t xml:space="preserve">발전사업 허가및개발행위 후 공사비 금융을 위한  </t>
    </r>
    <r>
      <rPr>
        <sz val="11"/>
        <color rgb="FFFF0000"/>
        <rFont val="맑은 고딕"/>
        <family val="3"/>
        <charset val="129"/>
      </rPr>
      <t>보증보험료, 마더사 수수료는 "을"이 부담</t>
    </r>
    <r>
      <rPr>
        <sz val="11"/>
        <rFont val="맑은 고딕"/>
        <family val="3"/>
        <charset val="129"/>
      </rPr>
      <t>한다</t>
    </r>
    <phoneticPr fontId="15" type="noConversion"/>
  </si>
  <si>
    <t>주소</t>
    <phoneticPr fontId="15" type="noConversion"/>
  </si>
  <si>
    <t>연락처</t>
    <phoneticPr fontId="15" type="noConversion"/>
  </si>
  <si>
    <t>구조안전진단결과에 따라 발전사업을 위한 목적의 건물 보강비용 발생시 "갑"이 부담한다.</t>
    <phoneticPr fontId="15" type="noConversion"/>
  </si>
  <si>
    <t>태양광설치 공사 중 불가향력적인 이유로 부득이하게 공사를 중단할 경우 소요된 비용에 대해서는 상호 협의하여 정산한다.</t>
    <phoneticPr fontId="15" type="noConversion"/>
  </si>
  <si>
    <t>3) 계약금(진행비)이라 함은 "을"이 본 사업을 진행함에 있어 소요되는  필요한 별도의 제반 비용으로서 허가 준비 및 영업 활동의 경비를 말한다.</t>
    <phoneticPr fontId="15" type="noConversion"/>
  </si>
  <si>
    <t>"을"은 "갑"의  본 태양광사업진행을 위하여 인.허가 및 대관업무, 금융업무를 담당하며 시공후 에너지 관리공단 REC발급 까지 책임진다.</t>
    <phoneticPr fontId="15" type="noConversion"/>
  </si>
  <si>
    <r>
      <t xml:space="preserve">"갑"의 귀책사유가 없으며 "을"이 발전 허가를 받지 못하여 공사 진행이 안된다고 판단될 시, </t>
    </r>
    <r>
      <rPr>
        <sz val="11"/>
        <color rgb="FFFF0000"/>
        <rFont val="맑은 고딕"/>
        <family val="3"/>
        <charset val="129"/>
      </rPr>
      <t>계약금(진행비)은  "갑"에게 반환</t>
    </r>
    <r>
      <rPr>
        <sz val="11"/>
        <rFont val="맑은 고딕"/>
        <family val="3"/>
        <charset val="129"/>
      </rPr>
      <t>하며 위약금이나</t>
    </r>
    <r>
      <rPr>
        <sz val="11"/>
        <color rgb="FFFF0000"/>
        <rFont val="맑은 고딕"/>
        <family val="3"/>
        <charset val="129"/>
      </rPr>
      <t xml:space="preserve"> 별도의 비용을 "갑"에게 청구할 수 없다</t>
    </r>
    <r>
      <rPr>
        <sz val="11"/>
        <rFont val="맑은 고딕"/>
        <family val="3"/>
        <charset val="129"/>
      </rPr>
      <t>.</t>
    </r>
    <phoneticPr fontId="15" type="noConversion"/>
  </si>
  <si>
    <t>*본 수익보고서는 발전상황과 SMP/REC 가격 변동에 따라 변할수있음</t>
    <phoneticPr fontId="15" type="noConversion"/>
  </si>
  <si>
    <t xml:space="preserve">20년 최고 감가률 8% </t>
    <phoneticPr fontId="15" type="noConversion"/>
  </si>
  <si>
    <t>8만원</t>
    <phoneticPr fontId="15" type="noConversion"/>
  </si>
  <si>
    <t xml:space="preserve">모니터링 </t>
    <phoneticPr fontId="15" type="noConversion"/>
  </si>
  <si>
    <t>help@hes.co.kr</t>
    <phoneticPr fontId="15" type="noConversion"/>
  </si>
  <si>
    <t>해가 드림(꿈)이 될수 있게 에이치에너지와 해드림에너지가 함께 합니다</t>
    <phoneticPr fontId="15" type="noConversion"/>
  </si>
  <si>
    <r>
      <t xml:space="preserve">"갑"의 변심으로 인한 계약파기시 갑은 </t>
    </r>
    <r>
      <rPr>
        <sz val="11"/>
        <color rgb="FFFF0000"/>
        <rFont val="맑은 고딕"/>
        <family val="3"/>
        <charset val="129"/>
      </rPr>
      <t>계약금(진행비)은 전액 포기</t>
    </r>
    <r>
      <rPr>
        <sz val="11"/>
        <rFont val="맑은 고딕"/>
        <family val="3"/>
        <charset val="129"/>
      </rPr>
      <t>하며  발전허가취득후 계약파기시는 계약금액의5% 개발행위완료후 계약파기시  계약금액의10% 의 위약금을 "을"에게 지불한다.</t>
    </r>
    <phoneticPr fontId="15" type="noConversion"/>
  </si>
  <si>
    <t xml:space="preserve">  책임시공사 :해드림에너지㈜</t>
    <phoneticPr fontId="15" type="noConversion"/>
  </si>
  <si>
    <t>* 특이 사항
 -부가세 별도 / 한전 설로비 별도
 -안전 사다리,발판포함/모니터링 포함  추가금액없음</t>
    <phoneticPr fontId="15" type="noConversion"/>
  </si>
  <si>
    <t>2026년도 상반기  현재기준 금액</t>
    <phoneticPr fontId="15" type="noConversion"/>
  </si>
  <si>
    <t>시공 :해드림에너지㈜</t>
    <phoneticPr fontId="15" type="noConversion"/>
  </si>
  <si>
    <t>시행:  에이치에너지솔루션㈜</t>
    <phoneticPr fontId="15" type="noConversion"/>
  </si>
  <si>
    <t>1) “사업기간”이라 함은 위 계약의 체결 일로부터 “갑” “을” "병"이 본 계약서에 명기한 기간을 말한다.</t>
    <phoneticPr fontId="15" type="noConversion"/>
  </si>
  <si>
    <t>"을"은 본 태양광공사계약에 있어  안전을 우선하여  책임시공을 하여야 한다. ( "을"의 지정된 책임시공사"병"을 통해 책임시공원칙으로 한다)</t>
    <phoneticPr fontId="15" type="noConversion"/>
  </si>
  <si>
    <t>해드림에너지(주)</t>
    <phoneticPr fontId="15" type="noConversion"/>
  </si>
  <si>
    <t>태양광 계약서</t>
    <phoneticPr fontId="15" type="noConversion"/>
  </si>
  <si>
    <r>
      <t xml:space="preserve">인.허가 취득후 실제 공사내용이 본 계약서와 변동이 있을 경우 </t>
    </r>
    <r>
      <rPr>
        <sz val="11"/>
        <color rgb="FFFF0000"/>
        <rFont val="맑은 고딕"/>
        <family val="3"/>
        <charset val="129"/>
      </rPr>
      <t>무자본 태양광 공사에 한해 서울보증보험에서 정한 계약서</t>
    </r>
    <r>
      <rPr>
        <sz val="11"/>
        <color rgb="FF000000"/>
        <rFont val="맑은 고딕"/>
        <family val="3"/>
        <charset val="129"/>
      </rPr>
      <t>를 재작성 한다.</t>
    </r>
    <phoneticPr fontId="15" type="noConversion"/>
  </si>
  <si>
    <r>
      <t xml:space="preserve">발전사업 인.허가 및 개발행위 취득 후 </t>
    </r>
    <r>
      <rPr>
        <sz val="11"/>
        <color rgb="FFFF0000"/>
        <rFont val="맑은 고딕"/>
        <family val="3"/>
        <charset val="129"/>
      </rPr>
      <t>한전선로연계비는 "갑"이 부담</t>
    </r>
    <r>
      <rPr>
        <sz val="11"/>
        <rFont val="맑은 고딕"/>
        <family val="3"/>
        <charset val="129"/>
      </rPr>
      <t>한다</t>
    </r>
    <phoneticPr fontId="15" type="noConversion"/>
  </si>
  <si>
    <t>에이치에너지솔루션(주)</t>
    <phoneticPr fontId="15" type="noConversion"/>
  </si>
  <si>
    <t>1800-5249</t>
    <phoneticPr fontId="15" type="noConversion"/>
  </si>
  <si>
    <t>공사단가</t>
    <phoneticPr fontId="15" type="noConversion"/>
  </si>
  <si>
    <t>월기준</t>
    <phoneticPr fontId="15" type="noConversion"/>
  </si>
  <si>
    <t>년기준</t>
    <phoneticPr fontId="15" type="noConversion"/>
  </si>
  <si>
    <t xml:space="preserve">계약번호: hes-260300-43호 </t>
    <phoneticPr fontId="15" type="noConversion"/>
  </si>
  <si>
    <t>충북 진천군 이월면 신월리 410-5</t>
    <phoneticPr fontId="15" type="noConversion"/>
  </si>
  <si>
    <t>317-0012-1029-61(농협)</t>
    <phoneticPr fontId="15" type="noConversion"/>
  </si>
  <si>
    <t xml:space="preserve">※지정계좌 : </t>
    <phoneticPr fontId="15" type="noConversion"/>
  </si>
  <si>
    <t xml:space="preserve">038701-04-596211 (국민) </t>
  </si>
  <si>
    <t>원정</t>
    <phoneticPr fontId="15" type="noConversion"/>
  </si>
  <si>
    <r>
      <t xml:space="preserve">계 약 금 : (\                          ) 시기:
중 도 금 : (\                          ) 시기:
잔 </t>
    </r>
    <r>
      <rPr>
        <sz val="11"/>
        <color theme="0"/>
        <rFont val="맑은 고딕"/>
        <family val="3"/>
        <charset val="129"/>
      </rPr>
      <t>여</t>
    </r>
    <r>
      <rPr>
        <sz val="11"/>
        <rFont val="맑은 고딕"/>
        <family val="3"/>
        <charset val="129"/>
      </rPr>
      <t xml:space="preserve"> 금 : (\                          ) 시기: </t>
    </r>
    <r>
      <rPr>
        <sz val="8"/>
        <color theme="1" tint="0.499984740745262"/>
        <rFont val="맑은 고딕"/>
        <family val="3"/>
        <charset val="129"/>
      </rPr>
      <t>사용전 검사 완료 후 10일 이내</t>
    </r>
    <phoneticPr fontId="15" type="noConversion"/>
  </si>
  <si>
    <t>하자보증금율 및 기간</t>
    <phoneticPr fontId="15" type="noConversion"/>
  </si>
  <si>
    <t>지체보상금율 및 지연이자율</t>
    <phoneticPr fontId="15" type="noConversion"/>
  </si>
  <si>
    <t>연 10% / 지체보상금율 1/1,000(일)</t>
    <phoneticPr fontId="15" type="noConversion"/>
  </si>
  <si>
    <t>발주자
(갑)</t>
    <phoneticPr fontId="15" type="noConversion"/>
  </si>
  <si>
    <t>상호</t>
    <phoneticPr fontId="15" type="noConversion"/>
  </si>
  <si>
    <t>주민
(사업자)번호</t>
    <phoneticPr fontId="15" type="noConversion"/>
  </si>
  <si>
    <t>성명</t>
    <phoneticPr fontId="15" type="noConversion"/>
  </si>
  <si>
    <t>공동수급자</t>
    <phoneticPr fontId="15" type="noConversion"/>
  </si>
  <si>
    <t>(을)</t>
    <phoneticPr fontId="15" type="noConversion"/>
  </si>
  <si>
    <t>설치용량(kw)</t>
    <phoneticPr fontId="15" type="noConversion"/>
  </si>
  <si>
    <t>공사단가(원)</t>
    <phoneticPr fontId="15" type="noConversion"/>
  </si>
  <si>
    <t>서울시 중랑구 면목로 44길 28, 3층</t>
    <phoneticPr fontId="15" type="noConversion"/>
  </si>
  <si>
    <t>공  급  가  액</t>
    <phoneticPr fontId="15" type="noConversion"/>
  </si>
  <si>
    <t>부 가 가 치 세</t>
    <phoneticPr fontId="15" type="noConversion"/>
  </si>
  <si>
    <r>
      <t xml:space="preserve">합            계
</t>
    </r>
    <r>
      <rPr>
        <sz val="9"/>
        <color rgb="FF000000"/>
        <rFont val="맑은 고딕"/>
        <family val="3"/>
        <charset val="129"/>
      </rPr>
      <t>(VAT포함)</t>
    </r>
    <phoneticPr fontId="15" type="noConversion"/>
  </si>
  <si>
    <t>결  제  조  건</t>
    <phoneticPr fontId="15" type="noConversion"/>
  </si>
  <si>
    <t>사업자번호</t>
    <phoneticPr fontId="15" type="noConversion"/>
  </si>
  <si>
    <t>대표자명</t>
    <phoneticPr fontId="15" type="noConversion"/>
  </si>
  <si>
    <t>466-86-03725</t>
    <phoneticPr fontId="15" type="noConversion"/>
  </si>
  <si>
    <t>(병)</t>
    <phoneticPr fontId="15" type="noConversion"/>
  </si>
  <si>
    <t>대전광역시 서구 둔산중로 38, 705호(둔산동)</t>
    <phoneticPr fontId="15" type="noConversion"/>
  </si>
  <si>
    <t>1877-4007</t>
    <phoneticPr fontId="15" type="noConversion"/>
  </si>
  <si>
    <t>준공 승인일로부터 3년 이내(구조물 및 전기공사) / 하자보증금율(공사대금5%)</t>
    <phoneticPr fontId="15" type="noConversion"/>
  </si>
  <si>
    <t xml:space="preserve">2026년           월           일 </t>
    <phoneticPr fontId="15" type="noConversion"/>
  </si>
  <si>
    <t>제6조</t>
    <phoneticPr fontId="15" type="noConversion"/>
  </si>
  <si>
    <t>에이치에너지솔루션㈜</t>
    <phoneticPr fontId="15" type="noConversion"/>
  </si>
  <si>
    <t>구  조  물</t>
    <phoneticPr fontId="15" type="noConversion"/>
  </si>
  <si>
    <t>인  버  터</t>
    <phoneticPr fontId="15" type="noConversion"/>
  </si>
  <si>
    <t>모       듈</t>
    <phoneticPr fontId="15" type="noConversion"/>
  </si>
  <si>
    <t>계약일로 10개월 내 허가득/허가일로 6개월이내</t>
    <phoneticPr fontId="15" type="noConversion"/>
  </si>
  <si>
    <t>전기안전공사 사용전 검사필증 발급일자 기준</t>
    <phoneticPr fontId="15" type="noConversion"/>
  </si>
  <si>
    <t>(에너지공단 자금추천서) 연리 2.9% (5년거치 10년상환)</t>
    <phoneticPr fontId="15" type="noConversion"/>
  </si>
  <si>
    <t>신청 후 공단 승인이 나지 않을 수도 있음을 고지함.</t>
    <phoneticPr fontId="15" type="noConversion"/>
  </si>
  <si>
    <t>류복남        (인)</t>
    <phoneticPr fontId="15" type="noConversion"/>
  </si>
  <si>
    <t>박성언        (인)</t>
    <phoneticPr fontId="15" type="noConversion"/>
  </si>
  <si>
    <t>김선생</t>
    <phoneticPr fontId="15" type="noConversion"/>
  </si>
  <si>
    <t>010-1234-5678</t>
    <phoneticPr fontId="15" type="noConversion"/>
  </si>
  <si>
    <t>컨텍코리아</t>
    <phoneticPr fontId="15" type="noConversion"/>
  </si>
  <si>
    <t>공       사        금        액
(VAT별도)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</si>
</sst>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176" formatCode="#,##0_ "/>
    <numFmt numFmtId="177" formatCode="#,##0_);[Red]\(#,##0\)"/>
    <numFmt numFmtId="178" formatCode="#,##0.00_ "/>
    <numFmt numFmtId="179" formatCode="#,##0.0_);[Red]\(#,##0.0\)"/>
    <numFmt numFmtId="180" formatCode="000\-000"/>
    <numFmt numFmtId="181" formatCode="0.00\k\W"/>
    <numFmt numFmtId="182" formatCode="#,##0&quot;원&quot;"/>
    <numFmt numFmtId="183" formatCode="#,##0.00\k\W"/>
    <numFmt numFmtId="184" formatCode="#,##0&quot;WP&quot;"/>
    <numFmt numFmtId="185" formatCode="\(&quot;₩&quot;\ \ #,##0\ \ \)"/>
    <numFmt numFmtId="186" formatCode="0.00\ \k\W"/>
    <numFmt numFmtId="187" formatCode="0.00_ \k\w"/>
  </numFmts>
  <fonts count="35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u/>
      <sz val="11"/>
      <color rgb="FF0563C1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26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1"/>
      <color rgb="FF203864"/>
      <name val="맑은 고딕"/>
      <family val="3"/>
      <charset val="129"/>
    </font>
    <font>
      <sz val="20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sz val="15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11"/>
      <color rgb="FF699B37"/>
      <name val="맑은 고딕"/>
      <family val="3"/>
      <charset val="129"/>
    </font>
    <font>
      <sz val="8"/>
      <name val="돋움"/>
      <family val="3"/>
      <charset val="129"/>
    </font>
    <font>
      <sz val="14"/>
      <color rgb="FF000000"/>
      <name val="맑은 고딕"/>
      <family val="3"/>
      <charset val="129"/>
    </font>
    <font>
      <b/>
      <sz val="30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14"/>
      <color rgb="FF1F1F1F"/>
      <name val="Arial"/>
      <family val="2"/>
    </font>
    <font>
      <b/>
      <sz val="14"/>
      <color rgb="FF1F1F1F"/>
      <name val="맑은 고딕"/>
      <family val="2"/>
      <charset val="129"/>
    </font>
    <font>
      <sz val="8"/>
      <color rgb="FFFF0000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theme="0" tint="-0.249977111117893"/>
      <name val="맑은 고딕"/>
      <family val="3"/>
      <charset val="129"/>
    </font>
    <font>
      <sz val="10"/>
      <color theme="0" tint="-0.249977111117893"/>
      <name val="맑은 고딕"/>
      <family val="3"/>
      <charset val="129"/>
    </font>
    <font>
      <sz val="11"/>
      <color theme="8"/>
      <name val="맑은 고딕"/>
      <family val="3"/>
      <charset val="129"/>
    </font>
    <font>
      <sz val="9"/>
      <color rgb="FF000000"/>
      <name val="Malgun Gothic"/>
      <family val="3"/>
      <charset val="129"/>
    </font>
    <font>
      <sz val="11"/>
      <color rgb="FF000000"/>
      <name val="맑은 고딕"/>
      <family val="3"/>
      <charset val="129"/>
    </font>
    <font>
      <sz val="11"/>
      <color theme="0"/>
      <name val="맑은 고딕"/>
      <family val="3"/>
      <charset val="129"/>
    </font>
    <font>
      <sz val="8"/>
      <color theme="1" tint="0.499984740745262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0"/>
      <color theme="0"/>
      <name val="맑은 고딕"/>
      <family val="3"/>
      <charset val="129"/>
    </font>
    <font>
      <u/>
      <sz val="8"/>
      <color rgb="FF0000FF"/>
      <name val="맑은 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29" fillId="0" borderId="0" applyFont="0" applyFill="0" applyBorder="0" applyAlignment="0" applyProtection="0">
      <alignment vertical="center"/>
    </xf>
  </cellStyleXfs>
  <cellXfs count="34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176" fontId="4" fillId="0" borderId="13" xfId="0" applyNumberFormat="1" applyFont="1" applyBorder="1">
      <alignment vertical="center"/>
    </xf>
    <xf numFmtId="176" fontId="0" fillId="0" borderId="13" xfId="0" applyNumberFormat="1" applyBorder="1">
      <alignment vertical="center"/>
    </xf>
    <xf numFmtId="0" fontId="0" fillId="0" borderId="13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6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6" fillId="0" borderId="0" xfId="0" applyFont="1">
      <alignment vertical="center"/>
    </xf>
    <xf numFmtId="41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4" fillId="4" borderId="1" xfId="0" applyNumberFormat="1" applyFont="1" applyFill="1" applyBorder="1" applyAlignment="1">
      <alignment horizontal="center" vertical="center"/>
    </xf>
    <xf numFmtId="178" fontId="0" fillId="0" borderId="16" xfId="0" applyNumberForma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8" fontId="3" fillId="0" borderId="16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4" fontId="0" fillId="0" borderId="40" xfId="0" applyNumberForma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1" xfId="0" applyBorder="1">
      <alignment vertical="center"/>
    </xf>
    <xf numFmtId="0" fontId="14" fillId="0" borderId="31" xfId="0" applyFont="1" applyBorder="1">
      <alignment vertical="center"/>
    </xf>
    <xf numFmtId="0" fontId="14" fillId="0" borderId="0" xfId="0" applyFont="1">
      <alignment vertical="center"/>
    </xf>
    <xf numFmtId="176" fontId="4" fillId="4" borderId="4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>
      <alignment vertical="center"/>
    </xf>
    <xf numFmtId="0" fontId="4" fillId="0" borderId="0" xfId="0" applyFont="1">
      <alignment vertical="center"/>
    </xf>
    <xf numFmtId="0" fontId="1" fillId="0" borderId="16" xfId="0" applyFont="1" applyBorder="1" applyAlignment="1">
      <alignment horizontal="center" vertical="center"/>
    </xf>
    <xf numFmtId="2" fontId="0" fillId="0" borderId="0" xfId="0" applyNumberFormat="1">
      <alignment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82" fontId="21" fillId="2" borderId="2" xfId="0" applyNumberFormat="1" applyFont="1" applyFill="1" applyBorder="1">
      <alignment vertical="center"/>
    </xf>
    <xf numFmtId="0" fontId="3" fillId="0" borderId="0" xfId="0" applyFont="1">
      <alignment vertical="center"/>
    </xf>
    <xf numFmtId="2" fontId="3" fillId="0" borderId="0" xfId="0" applyNumberFormat="1" applyFont="1">
      <alignment vertical="center"/>
    </xf>
    <xf numFmtId="0" fontId="23" fillId="0" borderId="1" xfId="0" applyFont="1" applyBorder="1" applyAlignment="1">
      <alignment horizontal="center" vertical="distributed" wrapText="1"/>
    </xf>
    <xf numFmtId="183" fontId="0" fillId="0" borderId="36" xfId="0" applyNumberFormat="1" applyBorder="1">
      <alignment vertical="center"/>
    </xf>
    <xf numFmtId="183" fontId="0" fillId="0" borderId="29" xfId="0" applyNumberFormat="1" applyBorder="1">
      <alignment vertical="center"/>
    </xf>
    <xf numFmtId="182" fontId="24" fillId="0" borderId="25" xfId="0" applyNumberFormat="1" applyFont="1" applyBorder="1">
      <alignment vertical="center"/>
    </xf>
    <xf numFmtId="0" fontId="0" fillId="3" borderId="45" xfId="0" applyFill="1" applyBorder="1" applyAlignment="1">
      <alignment horizontal="center" vertical="center"/>
    </xf>
    <xf numFmtId="41" fontId="0" fillId="0" borderId="26" xfId="0" applyNumberForma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5" xfId="0" applyFont="1" applyBorder="1">
      <alignment vertical="center"/>
    </xf>
    <xf numFmtId="0" fontId="7" fillId="0" borderId="14" xfId="0" applyFont="1" applyBorder="1">
      <alignment vertical="center"/>
    </xf>
    <xf numFmtId="176" fontId="7" fillId="0" borderId="14" xfId="0" applyNumberFormat="1" applyFont="1" applyBorder="1">
      <alignment vertical="center"/>
    </xf>
    <xf numFmtId="176" fontId="7" fillId="0" borderId="12" xfId="0" applyNumberFormat="1" applyFont="1" applyBorder="1">
      <alignment vertical="center"/>
    </xf>
    <xf numFmtId="0" fontId="7" fillId="0" borderId="22" xfId="0" applyFont="1" applyBorder="1">
      <alignment vertical="center"/>
    </xf>
    <xf numFmtId="0" fontId="2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0" fillId="7" borderId="0" xfId="0" applyFill="1">
      <alignment vertical="center"/>
    </xf>
    <xf numFmtId="0" fontId="0" fillId="6" borderId="0" xfId="0" applyFill="1">
      <alignment vertical="center"/>
    </xf>
    <xf numFmtId="0" fontId="25" fillId="7" borderId="0" xfId="0" applyFont="1" applyFill="1" applyAlignment="1">
      <alignment horizontal="center" vertical="center" wrapText="1"/>
    </xf>
    <xf numFmtId="0" fontId="26" fillId="7" borderId="0" xfId="0" applyFont="1" applyFill="1" applyAlignment="1">
      <alignment vertical="center" wrapText="1"/>
    </xf>
    <xf numFmtId="0" fontId="27" fillId="0" borderId="34" xfId="0" applyFont="1" applyBorder="1" applyAlignment="1">
      <alignment horizontal="center" vertical="center"/>
    </xf>
    <xf numFmtId="0" fontId="27" fillId="0" borderId="1" xfId="0" applyFont="1" applyBorder="1">
      <alignment vertical="center"/>
    </xf>
    <xf numFmtId="0" fontId="27" fillId="0" borderId="1" xfId="0" applyFont="1" applyBorder="1" applyAlignment="1">
      <alignment horizontal="center" vertical="center"/>
    </xf>
    <xf numFmtId="178" fontId="27" fillId="0" borderId="16" xfId="0" applyNumberFormat="1" applyFont="1" applyBorder="1" applyAlignment="1">
      <alignment horizontal="center" vertical="center"/>
    </xf>
    <xf numFmtId="176" fontId="27" fillId="0" borderId="1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2" borderId="20" xfId="0" applyFon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2" xfId="0" applyFill="1" applyBorder="1" applyAlignment="1">
      <alignment horizontal="left" vertical="center" indent="1"/>
    </xf>
    <xf numFmtId="41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41" fontId="0" fillId="5" borderId="2" xfId="0" applyNumberForma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6" borderId="34" xfId="0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right" vertical="center"/>
    </xf>
    <xf numFmtId="176" fontId="4" fillId="5" borderId="45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0" fillId="8" borderId="13" xfId="0" applyNumberFormat="1" applyFill="1" applyBorder="1" applyAlignment="1">
      <alignment horizontal="right" vertical="center"/>
    </xf>
    <xf numFmtId="176" fontId="0" fillId="8" borderId="12" xfId="0" applyNumberFormat="1" applyFill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14" fontId="8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4" fillId="0" borderId="2" xfId="0" applyFont="1" applyBorder="1">
      <alignment vertical="center"/>
    </xf>
    <xf numFmtId="0" fontId="0" fillId="0" borderId="26" xfId="0" applyBorder="1">
      <alignment vertical="center"/>
    </xf>
    <xf numFmtId="176" fontId="0" fillId="0" borderId="14" xfId="0" applyNumberForma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182" fontId="23" fillId="0" borderId="2" xfId="0" applyNumberFormat="1" applyFont="1" applyBorder="1" applyAlignment="1">
      <alignment horizontal="right" vertical="center"/>
    </xf>
    <xf numFmtId="0" fontId="32" fillId="0" borderId="53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187" fontId="0" fillId="0" borderId="14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 wrapText="1"/>
    </xf>
    <xf numFmtId="180" fontId="5" fillId="0" borderId="54" xfId="0" applyNumberFormat="1" applyFont="1" applyBorder="1" applyAlignment="1">
      <alignment horizontal="center" vertical="center"/>
    </xf>
    <xf numFmtId="180" fontId="5" fillId="0" borderId="55" xfId="0" applyNumberFormat="1" applyFont="1" applyBorder="1" applyAlignment="1">
      <alignment horizontal="center" vertical="center"/>
    </xf>
    <xf numFmtId="0" fontId="5" fillId="0" borderId="57" xfId="0" applyFont="1" applyBorder="1" applyAlignment="1">
      <alignment horizontal="left" vertical="center" indent="1"/>
    </xf>
    <xf numFmtId="0" fontId="32" fillId="0" borderId="57" xfId="0" applyFont="1" applyBorder="1" applyAlignment="1">
      <alignment horizontal="center" vertical="center" wrapText="1"/>
    </xf>
    <xf numFmtId="180" fontId="5" fillId="0" borderId="57" xfId="0" applyNumberFormat="1" applyFont="1" applyBorder="1" applyAlignment="1">
      <alignment horizontal="right" vertical="center" indent="1"/>
    </xf>
    <xf numFmtId="180" fontId="5" fillId="0" borderId="58" xfId="0" applyNumberFormat="1" applyFont="1" applyBorder="1" applyAlignment="1">
      <alignment horizontal="right" vertical="center" indent="1"/>
    </xf>
    <xf numFmtId="0" fontId="33" fillId="9" borderId="6" xfId="0" applyFont="1" applyFill="1" applyBorder="1" applyAlignment="1">
      <alignment horizontal="center" vertical="center"/>
    </xf>
    <xf numFmtId="0" fontId="33" fillId="9" borderId="9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left" vertical="center" indent="1"/>
    </xf>
    <xf numFmtId="0" fontId="5" fillId="0" borderId="54" xfId="0" applyFont="1" applyBorder="1" applyAlignment="1">
      <alignment horizontal="center" vertical="center"/>
    </xf>
    <xf numFmtId="0" fontId="33" fillId="9" borderId="52" xfId="0" applyFont="1" applyFill="1" applyBorder="1" applyAlignment="1">
      <alignment horizontal="center" vertical="center" textRotation="255"/>
    </xf>
    <xf numFmtId="0" fontId="33" fillId="9" borderId="61" xfId="0" applyFont="1" applyFill="1" applyBorder="1" applyAlignment="1">
      <alignment horizontal="center" vertical="center" textRotation="255"/>
    </xf>
    <xf numFmtId="0" fontId="33" fillId="9" borderId="16" xfId="0" applyFont="1" applyFill="1" applyBorder="1" applyAlignment="1">
      <alignment horizontal="center" vertical="center" textRotation="255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4" fillId="0" borderId="20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186" fontId="23" fillId="0" borderId="20" xfId="0" applyNumberFormat="1" applyFont="1" applyBorder="1" applyAlignment="1">
      <alignment horizontal="center" vertical="center"/>
    </xf>
    <xf numFmtId="186" fontId="23" fillId="0" borderId="2" xfId="0" applyNumberFormat="1" applyFont="1" applyBorder="1" applyAlignment="1">
      <alignment horizontal="center" vertical="center"/>
    </xf>
    <xf numFmtId="186" fontId="23" fillId="0" borderId="3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5" fontId="23" fillId="0" borderId="2" xfId="2" applyNumberFormat="1" applyFont="1" applyFill="1" applyBorder="1" applyAlignment="1">
      <alignment horizontal="left" vertical="center"/>
    </xf>
    <xf numFmtId="185" fontId="23" fillId="0" borderId="3" xfId="2" applyNumberFormat="1" applyFont="1" applyFill="1" applyBorder="1" applyAlignment="1">
      <alignment horizontal="left" vertical="center"/>
    </xf>
    <xf numFmtId="182" fontId="23" fillId="0" borderId="20" xfId="0" applyNumberFormat="1" applyFont="1" applyBorder="1" applyAlignment="1">
      <alignment horizontal="left" vertical="center" indent="1"/>
    </xf>
    <xf numFmtId="182" fontId="23" fillId="0" borderId="2" xfId="0" applyNumberFormat="1" applyFont="1" applyBorder="1" applyAlignment="1">
      <alignment horizontal="left" vertical="center" indent="1"/>
    </xf>
    <xf numFmtId="185" fontId="23" fillId="0" borderId="20" xfId="2" applyNumberFormat="1" applyFont="1" applyFill="1" applyBorder="1" applyAlignment="1">
      <alignment horizontal="left" vertical="center" wrapText="1" indent="1"/>
    </xf>
    <xf numFmtId="185" fontId="23" fillId="0" borderId="2" xfId="2" applyNumberFormat="1" applyFont="1" applyFill="1" applyBorder="1" applyAlignment="1">
      <alignment horizontal="left" vertical="center" indent="1"/>
    </xf>
    <xf numFmtId="185" fontId="23" fillId="0" borderId="3" xfId="2" applyNumberFormat="1" applyFont="1" applyFill="1" applyBorder="1" applyAlignment="1">
      <alignment horizontal="left" vertical="center" indent="1"/>
    </xf>
    <xf numFmtId="0" fontId="16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176" fontId="1" fillId="0" borderId="20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184" fontId="1" fillId="0" borderId="20" xfId="0" applyNumberFormat="1" applyFont="1" applyBorder="1" applyAlignment="1">
      <alignment horizontal="center" vertical="center" wrapText="1"/>
    </xf>
    <xf numFmtId="184" fontId="1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183" fontId="18" fillId="0" borderId="49" xfId="0" applyNumberFormat="1" applyFont="1" applyBorder="1" applyAlignment="1">
      <alignment horizontal="center" vertical="center"/>
    </xf>
    <xf numFmtId="183" fontId="18" fillId="0" borderId="2" xfId="0" applyNumberFormat="1" applyFont="1" applyBorder="1" applyAlignment="1">
      <alignment horizontal="center" vertical="center"/>
    </xf>
    <xf numFmtId="183" fontId="18" fillId="0" borderId="25" xfId="0" applyNumberFormat="1" applyFont="1" applyBorder="1" applyAlignment="1">
      <alignment horizontal="center" vertical="center"/>
    </xf>
    <xf numFmtId="182" fontId="18" fillId="0" borderId="49" xfId="0" applyNumberFormat="1" applyFont="1" applyBorder="1" applyAlignment="1">
      <alignment horizontal="center" vertical="center"/>
    </xf>
    <xf numFmtId="182" fontId="18" fillId="0" borderId="2" xfId="0" applyNumberFormat="1" applyFont="1" applyBorder="1" applyAlignment="1">
      <alignment horizontal="center" vertical="center"/>
    </xf>
    <xf numFmtId="182" fontId="18" fillId="0" borderId="25" xfId="0" applyNumberFormat="1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18" fillId="0" borderId="48" xfId="0" applyNumberFormat="1" applyFont="1" applyBorder="1" applyAlignment="1">
      <alignment horizontal="center" vertical="center"/>
    </xf>
    <xf numFmtId="176" fontId="18" fillId="0" borderId="29" xfId="0" applyNumberFormat="1" applyFont="1" applyBorder="1" applyAlignment="1">
      <alignment horizontal="center" vertical="center"/>
    </xf>
    <xf numFmtId="176" fontId="18" fillId="0" borderId="30" xfId="0" applyNumberFormat="1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11" fillId="0" borderId="10" xfId="0" applyFont="1" applyBorder="1" applyAlignment="1">
      <alignment horizontal="center" vertical="center"/>
    </xf>
    <xf numFmtId="0" fontId="22" fillId="0" borderId="20" xfId="0" applyFont="1" applyBorder="1" applyAlignment="1">
      <alignment horizontal="distributed" vertical="center" wrapText="1"/>
    </xf>
    <xf numFmtId="0" fontId="22" fillId="0" borderId="2" xfId="0" applyFont="1" applyBorder="1" applyAlignment="1">
      <alignment horizontal="distributed" vertical="center" wrapText="1"/>
    </xf>
    <xf numFmtId="0" fontId="22" fillId="0" borderId="3" xfId="0" applyFont="1" applyBorder="1" applyAlignment="1">
      <alignment horizontal="distributed" vertical="center" wrapText="1"/>
    </xf>
    <xf numFmtId="0" fontId="23" fillId="0" borderId="20" xfId="0" applyFont="1" applyBorder="1" applyAlignment="1">
      <alignment horizontal="left" vertical="center" indent="1"/>
    </xf>
    <xf numFmtId="0" fontId="23" fillId="0" borderId="2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176" fontId="5" fillId="0" borderId="57" xfId="0" applyNumberFormat="1" applyFont="1" applyBorder="1" applyAlignment="1">
      <alignment horizontal="left" vertical="center" indent="1"/>
    </xf>
    <xf numFmtId="3" fontId="5" fillId="0" borderId="57" xfId="0" applyNumberFormat="1" applyFont="1" applyBorder="1" applyAlignment="1">
      <alignment horizontal="right" vertical="center" indent="1"/>
    </xf>
    <xf numFmtId="3" fontId="5" fillId="0" borderId="58" xfId="0" applyNumberFormat="1" applyFont="1" applyBorder="1" applyAlignment="1">
      <alignment horizontal="right" vertical="center" indent="1"/>
    </xf>
    <xf numFmtId="0" fontId="9" fillId="0" borderId="20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0" fontId="33" fillId="9" borderId="6" xfId="0" applyFont="1" applyFill="1" applyBorder="1" applyAlignment="1">
      <alignment horizontal="center" vertical="center" wrapText="1"/>
    </xf>
    <xf numFmtId="0" fontId="33" fillId="9" borderId="59" xfId="0" applyFont="1" applyFill="1" applyBorder="1" applyAlignment="1">
      <alignment horizontal="center" vertical="center" wrapText="1"/>
    </xf>
    <xf numFmtId="0" fontId="33" fillId="9" borderId="9" xfId="0" applyFont="1" applyFill="1" applyBorder="1" applyAlignment="1">
      <alignment horizontal="center" vertical="center" wrapText="1"/>
    </xf>
    <xf numFmtId="0" fontId="33" fillId="9" borderId="60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left" vertical="center" indent="1"/>
    </xf>
    <xf numFmtId="0" fontId="5" fillId="0" borderId="29" xfId="0" applyFont="1" applyBorder="1" applyAlignment="1">
      <alignment horizontal="left" vertical="center" indent="1"/>
    </xf>
    <xf numFmtId="0" fontId="5" fillId="0" borderId="30" xfId="0" applyFont="1" applyBorder="1" applyAlignment="1">
      <alignment horizontal="left" vertical="center" indent="1"/>
    </xf>
    <xf numFmtId="0" fontId="5" fillId="0" borderId="20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25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center" wrapText="1" indent="1"/>
    </xf>
    <xf numFmtId="0" fontId="13" fillId="0" borderId="2" xfId="0" applyFont="1" applyBorder="1" applyAlignment="1">
      <alignment horizontal="left" vertical="center" indent="1"/>
    </xf>
    <xf numFmtId="0" fontId="13" fillId="0" borderId="25" xfId="0" applyFont="1" applyBorder="1" applyAlignment="1">
      <alignment horizontal="left" vertical="center" indent="1"/>
    </xf>
    <xf numFmtId="0" fontId="34" fillId="0" borderId="20" xfId="1" applyFont="1" applyBorder="1" applyAlignment="1">
      <alignment horizontal="left" vertical="center" indent="1"/>
    </xf>
    <xf numFmtId="0" fontId="34" fillId="0" borderId="2" xfId="1" applyFont="1" applyBorder="1" applyAlignment="1">
      <alignment horizontal="left" vertical="center" indent="1"/>
    </xf>
    <xf numFmtId="0" fontId="34" fillId="0" borderId="25" xfId="1" applyFont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9" xfId="0" applyFont="1" applyBorder="1" applyAlignment="1">
      <alignment horizontal="left" vertical="center" indent="1"/>
    </xf>
    <xf numFmtId="0" fontId="5" fillId="0" borderId="26" xfId="0" applyFont="1" applyBorder="1" applyAlignment="1">
      <alignment horizontal="left" vertical="center" indent="1"/>
    </xf>
    <xf numFmtId="0" fontId="5" fillId="0" borderId="27" xfId="0" applyFont="1" applyBorder="1" applyAlignment="1">
      <alignment horizontal="left" vertical="center" indent="1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82" fontId="4" fillId="0" borderId="20" xfId="0" applyNumberFormat="1" applyFont="1" applyBorder="1" applyAlignment="1">
      <alignment horizontal="left" vertical="center"/>
    </xf>
    <xf numFmtId="182" fontId="4" fillId="0" borderId="25" xfId="0" applyNumberFormat="1" applyFont="1" applyBorder="1" applyAlignment="1">
      <alignment horizontal="left" vertical="center"/>
    </xf>
    <xf numFmtId="0" fontId="0" fillId="3" borderId="28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2" borderId="20" xfId="0" applyNumberFormat="1" applyFill="1" applyBorder="1" applyAlignment="1">
      <alignment horizontal="center" vertical="center"/>
    </xf>
    <xf numFmtId="179" fontId="0" fillId="2" borderId="2" xfId="0" applyNumberFormat="1" applyFill="1" applyBorder="1" applyAlignment="1">
      <alignment horizontal="center" vertical="center"/>
    </xf>
    <xf numFmtId="177" fontId="0" fillId="5" borderId="20" xfId="0" applyNumberFormat="1" applyFill="1" applyBorder="1" applyAlignment="1">
      <alignment horizontal="center" vertical="center"/>
    </xf>
    <xf numFmtId="177" fontId="0" fillId="5" borderId="2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81" fontId="0" fillId="0" borderId="20" xfId="0" applyNumberFormat="1" applyBorder="1" applyAlignment="1">
      <alignment horizontal="center" vertical="center"/>
    </xf>
    <xf numFmtId="181" fontId="0" fillId="0" borderId="2" xfId="0" applyNumberFormat="1" applyBorder="1" applyAlignment="1">
      <alignment horizontal="center" vertical="center"/>
    </xf>
    <xf numFmtId="182" fontId="0" fillId="2" borderId="20" xfId="0" applyNumberFormat="1" applyFill="1" applyBorder="1" applyAlignment="1">
      <alignment horizontal="center" vertical="center"/>
    </xf>
    <xf numFmtId="182" fontId="0" fillId="2" borderId="2" xfId="0" applyNumberForma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82" fontId="23" fillId="0" borderId="20" xfId="0" applyNumberFormat="1" applyFont="1" applyBorder="1" applyAlignment="1">
      <alignment horizontal="center" vertical="center"/>
    </xf>
    <xf numFmtId="182" fontId="23" fillId="0" borderId="2" xfId="0" applyNumberFormat="1" applyFont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41" fontId="1" fillId="0" borderId="20" xfId="0" applyNumberFormat="1" applyFont="1" applyBorder="1" applyAlignment="1">
      <alignment horizontal="center" vertical="center"/>
    </xf>
    <xf numFmtId="41" fontId="0" fillId="0" borderId="2" xfId="0" applyNumberFormat="1" applyBorder="1" applyAlignment="1">
      <alignment horizontal="center" vertical="center"/>
    </xf>
    <xf numFmtId="41" fontId="0" fillId="0" borderId="25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182" fontId="3" fillId="2" borderId="20" xfId="0" applyNumberFormat="1" applyFont="1" applyFill="1" applyBorder="1">
      <alignment vertical="center"/>
    </xf>
    <xf numFmtId="182" fontId="3" fillId="2" borderId="2" xfId="0" applyNumberFormat="1" applyFont="1" applyFill="1" applyBorder="1">
      <alignment vertical="center"/>
    </xf>
    <xf numFmtId="0" fontId="1" fillId="0" borderId="37" xfId="0" applyFont="1" applyBorder="1" applyAlignment="1">
      <alignment horizontal="center" vertical="center"/>
    </xf>
    <xf numFmtId="182" fontId="0" fillId="0" borderId="20" xfId="0" applyNumberFormat="1" applyBorder="1" applyAlignment="1">
      <alignment horizontal="right" vertical="center" indent="1"/>
    </xf>
    <xf numFmtId="182" fontId="0" fillId="0" borderId="2" xfId="0" applyNumberFormat="1" applyBorder="1" applyAlignment="1">
      <alignment horizontal="right" vertical="center" indent="1"/>
    </xf>
    <xf numFmtId="182" fontId="0" fillId="0" borderId="3" xfId="0" applyNumberFormat="1" applyBorder="1" applyAlignment="1">
      <alignment horizontal="right" vertical="center" indent="1"/>
    </xf>
    <xf numFmtId="182" fontId="0" fillId="0" borderId="25" xfId="0" applyNumberFormat="1" applyBorder="1" applyAlignment="1">
      <alignment horizontal="right" vertical="center" indent="1"/>
    </xf>
    <xf numFmtId="0" fontId="0" fillId="6" borderId="28" xfId="0" applyFill="1" applyBorder="1" applyAlignment="1">
      <alignment horizontal="center" vertical="center"/>
    </xf>
    <xf numFmtId="0" fontId="0" fillId="6" borderId="50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 shrinkToFit="1"/>
    </xf>
    <xf numFmtId="0" fontId="0" fillId="6" borderId="29" xfId="0" applyFill="1" applyBorder="1" applyAlignment="1">
      <alignment horizontal="center" vertical="center" shrinkToFit="1"/>
    </xf>
    <xf numFmtId="0" fontId="0" fillId="6" borderId="50" xfId="0" applyFill="1" applyBorder="1" applyAlignment="1">
      <alignment horizontal="center" vertical="center" shrinkToFit="1"/>
    </xf>
    <xf numFmtId="0" fontId="0" fillId="6" borderId="30" xfId="0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176" fontId="4" fillId="4" borderId="45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</cellXfs>
  <cellStyles count="3">
    <cellStyle name="백분율" xfId="2" builtinId="5"/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533333</xdr:colOff>
      <xdr:row>27</xdr:row>
      <xdr:rowOff>227134</xdr:rowOff>
    </xdr:from>
    <xdr:to>
      <xdr:col>4</xdr:col>
      <xdr:colOff>1090147</xdr:colOff>
      <xdr:row>27</xdr:row>
      <xdr:rowOff>615461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9CCC5DB7-2DF3-4CB0-AA2B-DF8E481CE2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68" t="94516" r="-250"/>
        <a:stretch/>
      </xdr:blipFill>
      <xdr:spPr>
        <a:xfrm>
          <a:off x="533333" y="9143999"/>
          <a:ext cx="2522627" cy="388327"/>
        </a:xfrm>
        <a:prstGeom prst="rect">
          <a:avLst/>
        </a:prstGeom>
      </xdr:spPr>
    </xdr:pic>
    <xdr:clientData/>
  </xdr:twoCellAnchor>
  <xdr:twoCellAnchor editAs="oneCell">
    <xdr:from>
      <xdr:col>5</xdr:col>
      <xdr:colOff>489766</xdr:colOff>
      <xdr:row>27</xdr:row>
      <xdr:rowOff>219809</xdr:rowOff>
    </xdr:from>
    <xdr:to>
      <xdr:col>10</xdr:col>
      <xdr:colOff>357042</xdr:colOff>
      <xdr:row>27</xdr:row>
      <xdr:rowOff>542194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7358A3ED-8F3D-4CF5-AA0D-4CAEFF7134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97" t="88649" r="-250" b="5607"/>
        <a:stretch/>
      </xdr:blipFill>
      <xdr:spPr>
        <a:xfrm>
          <a:off x="3171420" y="9136674"/>
          <a:ext cx="2592891" cy="322385"/>
        </a:xfrm>
        <a:prstGeom prst="rect">
          <a:avLst/>
        </a:prstGeom>
      </xdr:spPr>
    </xdr:pic>
    <xdr:clientData/>
  </xdr:twoCellAnchor>
  <xdr:twoCellAnchor editAs="oneCell">
    <xdr:from>
      <xdr:col>11</xdr:col>
      <xdr:colOff>468922</xdr:colOff>
      <xdr:row>69</xdr:row>
      <xdr:rowOff>183173</xdr:rowOff>
    </xdr:from>
    <xdr:to>
      <xdr:col>12</xdr:col>
      <xdr:colOff>10951</xdr:colOff>
      <xdr:row>71</xdr:row>
      <xdr:rowOff>79130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5BA984C1-C352-B5B8-354D-1DFD34526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5230" y="19196538"/>
          <a:ext cx="619086" cy="511419"/>
        </a:xfrm>
        <a:prstGeom prst="rect">
          <a:avLst/>
        </a:prstGeom>
      </xdr:spPr>
    </xdr:pic>
    <xdr:clientData/>
  </xdr:twoCellAnchor>
  <xdr:twoCellAnchor editAs="oneCell">
    <xdr:from>
      <xdr:col>5</xdr:col>
      <xdr:colOff>432290</xdr:colOff>
      <xdr:row>24</xdr:row>
      <xdr:rowOff>58615</xdr:rowOff>
    </xdr:from>
    <xdr:to>
      <xdr:col>7</xdr:col>
      <xdr:colOff>87925</xdr:colOff>
      <xdr:row>27</xdr:row>
      <xdr:rowOff>95250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162DFA35-961D-3C2D-E3FA-FDB750CCB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1675" y="8469923"/>
          <a:ext cx="967154" cy="96715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56</xdr:row>
          <xdr:rowOff>9525</xdr:rowOff>
        </xdr:from>
        <xdr:to>
          <xdr:col>5</xdr:col>
          <xdr:colOff>466725</xdr:colOff>
          <xdr:row>56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한전선로 계통연계비 포함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56</xdr:row>
          <xdr:rowOff>9525</xdr:rowOff>
        </xdr:from>
        <xdr:to>
          <xdr:col>9</xdr:col>
          <xdr:colOff>304800</xdr:colOff>
          <xdr:row>56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선로 계통연계비 사업주 부담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619468</xdr:colOff>
      <xdr:row>71</xdr:row>
      <xdr:rowOff>269732</xdr:rowOff>
    </xdr:from>
    <xdr:to>
      <xdr:col>11</xdr:col>
      <xdr:colOff>962512</xdr:colOff>
      <xdr:row>72</xdr:row>
      <xdr:rowOff>290038</xdr:rowOff>
    </xdr:to>
    <xdr:pic>
      <xdr:nvPicPr>
        <xdr:cNvPr id="4" name="Picture 66">
          <a:extLst>
            <a:ext uri="{FF2B5EF4-FFF2-40B4-BE49-F238E27FC236}">
              <a16:creationId xmlns:a16="http://schemas.microsoft.com/office/drawing/2014/main" id="{47844B5F-9A24-4D54-984B-1CB783226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47487">
          <a:off x="7125776" y="19898559"/>
          <a:ext cx="343044" cy="328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6</xdr:row>
      <xdr:rowOff>50523</xdr:rowOff>
    </xdr:from>
    <xdr:to>
      <xdr:col>6</xdr:col>
      <xdr:colOff>114300</xdr:colOff>
      <xdr:row>8</xdr:row>
      <xdr:rowOff>66674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93D604F4-95EF-1FB7-A6A7-1BF1F77A3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1679298"/>
          <a:ext cx="619125" cy="511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elp@hes.co.k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116"/>
  <sheetViews>
    <sheetView showGridLines="0" tabSelected="1" view="pageBreakPreview" topLeftCell="A80" zoomScale="130" zoomScaleNormal="130" zoomScaleSheetLayoutView="130" workbookViewId="0">
      <selection activeCell="P93" sqref="P93"/>
    </sheetView>
  </sheetViews>
  <sheetFormatPr defaultRowHeight="16.5"/>
  <cols>
    <col min="1" max="2" width="5.625" customWidth="1"/>
    <col min="3" max="3" width="6.375" customWidth="1"/>
    <col min="4" max="4" width="6.75" customWidth="1"/>
    <col min="5" max="5" width="19.75" customWidth="1"/>
    <col min="6" max="6" width="7.125" customWidth="1"/>
    <col min="7" max="7" width="10.125" customWidth="1"/>
    <col min="8" max="8" width="5.25" customWidth="1"/>
    <col min="9" max="9" width="8.625" customWidth="1"/>
    <col min="10" max="10" width="4.625" customWidth="1"/>
    <col min="11" max="11" width="5.5" customWidth="1"/>
    <col min="12" max="12" width="14.125" customWidth="1"/>
    <col min="14" max="15" width="6.5" customWidth="1"/>
  </cols>
  <sheetData>
    <row r="1" spans="1:15" ht="16.5" customHeight="1"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5" ht="16.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5" ht="49.5" customHeight="1">
      <c r="A3" s="207" t="s">
        <v>65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5" ht="39.75" customHeight="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5" ht="15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N5" s="74"/>
    </row>
    <row r="6" spans="1:15" ht="30" customHeight="1">
      <c r="A6" s="45"/>
      <c r="B6" s="45"/>
      <c r="C6" s="160" t="str">
        <f>"[현장명  :          "&amp;F16&amp;"  태양광발전소]"</f>
        <v>[현장명  :          컨텍코리아  태양광발전소]</v>
      </c>
      <c r="D6" s="160"/>
      <c r="E6" s="160"/>
      <c r="F6" s="160"/>
      <c r="G6" s="160"/>
      <c r="H6" s="160"/>
      <c r="I6" s="160"/>
      <c r="J6" s="160"/>
      <c r="K6" s="71"/>
      <c r="L6" s="45"/>
    </row>
    <row r="7" spans="1:15" ht="25.5" customHeight="1">
      <c r="A7" s="45"/>
      <c r="B7" s="45"/>
      <c r="C7" s="208" t="s">
        <v>140</v>
      </c>
      <c r="D7" s="208"/>
      <c r="E7" s="208"/>
      <c r="F7" s="208"/>
      <c r="G7" s="208"/>
      <c r="H7" s="208"/>
      <c r="I7" s="208"/>
      <c r="J7" s="208"/>
      <c r="K7" s="208"/>
      <c r="L7" s="45"/>
    </row>
    <row r="8" spans="1:15" ht="30" customHeight="1">
      <c r="A8" s="160" t="s">
        <v>118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</row>
    <row r="9" spans="1:15" ht="26.25" customHeight="1">
      <c r="A9" s="208" t="s">
        <v>146</v>
      </c>
      <c r="B9" s="208"/>
      <c r="C9" s="209"/>
      <c r="D9" s="209"/>
      <c r="E9" s="209"/>
      <c r="F9" s="209"/>
      <c r="G9" s="209"/>
      <c r="H9" s="209"/>
      <c r="I9" s="209"/>
      <c r="J9" s="209"/>
      <c r="K9" s="209"/>
      <c r="L9" s="209"/>
    </row>
    <row r="10" spans="1:15" ht="26.25" customHeight="1">
      <c r="A10" s="208" t="s">
        <v>145</v>
      </c>
      <c r="B10" s="208"/>
      <c r="C10" s="209"/>
      <c r="D10" s="209"/>
      <c r="E10" s="209"/>
      <c r="F10" s="209"/>
      <c r="G10" s="209"/>
      <c r="H10" s="209"/>
      <c r="I10" s="209"/>
      <c r="J10" s="209"/>
      <c r="K10" s="209"/>
      <c r="L10" s="209"/>
    </row>
    <row r="11" spans="1:15" ht="25.5" customHeight="1">
      <c r="A11" s="45"/>
      <c r="B11" s="45"/>
      <c r="C11" s="208" t="s">
        <v>158</v>
      </c>
      <c r="D11" s="209"/>
      <c r="E11" s="209"/>
      <c r="F11" s="209"/>
      <c r="G11" s="209"/>
      <c r="H11" s="209"/>
      <c r="I11" s="209"/>
      <c r="J11" s="209"/>
      <c r="K11" s="51"/>
      <c r="L11" s="45"/>
    </row>
    <row r="12" spans="1:15" ht="43.5" customHeight="1" thickBot="1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N12" s="75" t="s">
        <v>104</v>
      </c>
      <c r="O12" s="75" t="s">
        <v>108</v>
      </c>
    </row>
    <row r="13" spans="1:15" ht="35.1" customHeight="1">
      <c r="A13" s="45"/>
      <c r="B13" s="45"/>
      <c r="C13" s="130" t="s">
        <v>87</v>
      </c>
      <c r="D13" s="131"/>
      <c r="E13" s="132"/>
      <c r="F13" s="210" t="s">
        <v>159</v>
      </c>
      <c r="G13" s="211"/>
      <c r="H13" s="211"/>
      <c r="I13" s="211"/>
      <c r="J13" s="211"/>
      <c r="K13" s="212"/>
      <c r="L13" s="45"/>
      <c r="N13" s="76" t="s">
        <v>105</v>
      </c>
      <c r="O13" s="76">
        <v>150</v>
      </c>
    </row>
    <row r="14" spans="1:15" ht="35.1" customHeight="1">
      <c r="A14" s="45"/>
      <c r="B14" s="45"/>
      <c r="C14" s="133" t="s">
        <v>174</v>
      </c>
      <c r="D14" s="134"/>
      <c r="E14" s="135"/>
      <c r="F14" s="199">
        <v>150</v>
      </c>
      <c r="G14" s="200"/>
      <c r="H14" s="200"/>
      <c r="I14" s="200"/>
      <c r="J14" s="200"/>
      <c r="K14" s="201"/>
      <c r="L14" s="45"/>
      <c r="N14" s="76" t="s">
        <v>106</v>
      </c>
      <c r="O14" s="76">
        <v>160</v>
      </c>
    </row>
    <row r="15" spans="1:15" ht="35.1" customHeight="1">
      <c r="A15" s="45"/>
      <c r="B15" s="45"/>
      <c r="C15" s="133" t="s">
        <v>175</v>
      </c>
      <c r="D15" s="134"/>
      <c r="E15" s="135"/>
      <c r="F15" s="202">
        <v>1050000</v>
      </c>
      <c r="G15" s="203"/>
      <c r="H15" s="203"/>
      <c r="I15" s="203"/>
      <c r="J15" s="203"/>
      <c r="K15" s="204"/>
      <c r="L15" s="45"/>
      <c r="N15" s="76" t="s">
        <v>107</v>
      </c>
      <c r="O15" s="76">
        <v>170</v>
      </c>
    </row>
    <row r="16" spans="1:15" ht="35.1" customHeight="1">
      <c r="A16" s="45"/>
      <c r="B16" s="45"/>
      <c r="C16" s="133" t="s">
        <v>88</v>
      </c>
      <c r="D16" s="134"/>
      <c r="E16" s="135"/>
      <c r="F16" s="205" t="s">
        <v>202</v>
      </c>
      <c r="G16" s="134"/>
      <c r="H16" s="134"/>
      <c r="I16" s="134"/>
      <c r="J16" s="134"/>
      <c r="K16" s="206"/>
      <c r="L16" s="45"/>
      <c r="N16" s="76" t="s">
        <v>109</v>
      </c>
      <c r="O16" s="76">
        <v>180</v>
      </c>
    </row>
    <row r="17" spans="1:15" ht="35.1" customHeight="1">
      <c r="A17" s="45"/>
      <c r="B17" s="45"/>
      <c r="C17" s="133" t="s">
        <v>89</v>
      </c>
      <c r="D17" s="134"/>
      <c r="E17" s="135"/>
      <c r="F17" s="205" t="s">
        <v>200</v>
      </c>
      <c r="G17" s="134"/>
      <c r="H17" s="134"/>
      <c r="I17" s="134"/>
      <c r="J17" s="134"/>
      <c r="K17" s="206"/>
      <c r="L17" s="45"/>
      <c r="N17" s="73"/>
      <c r="O17" s="73"/>
    </row>
    <row r="18" spans="1:15" ht="35.1" customHeight="1">
      <c r="A18" s="45"/>
      <c r="B18" s="45"/>
      <c r="C18" s="133" t="s">
        <v>90</v>
      </c>
      <c r="D18" s="134"/>
      <c r="E18" s="135"/>
      <c r="F18" s="213" t="s">
        <v>201</v>
      </c>
      <c r="G18" s="214"/>
      <c r="H18" s="214"/>
      <c r="I18" s="214"/>
      <c r="J18" s="214"/>
      <c r="K18" s="215"/>
      <c r="L18" s="45"/>
    </row>
    <row r="19" spans="1:15" ht="35.1" customHeight="1" thickBot="1">
      <c r="A19" s="45"/>
      <c r="B19" s="45"/>
      <c r="C19" s="136" t="s">
        <v>91</v>
      </c>
      <c r="D19" s="137"/>
      <c r="E19" s="138"/>
      <c r="F19" s="216" t="s">
        <v>102</v>
      </c>
      <c r="G19" s="217"/>
      <c r="H19" s="217"/>
      <c r="I19" s="217"/>
      <c r="J19" s="217"/>
      <c r="K19" s="218"/>
      <c r="L19" s="45"/>
    </row>
    <row r="20" spans="1:15" ht="23.25" customHeight="1">
      <c r="A20" s="45"/>
      <c r="B20" s="45"/>
      <c r="C20" s="51"/>
      <c r="D20" s="2"/>
      <c r="E20" s="209"/>
      <c r="F20" s="219"/>
      <c r="G20" s="219"/>
      <c r="H20" s="219"/>
      <c r="I20" s="219"/>
      <c r="J20" s="219"/>
      <c r="K20" s="45"/>
      <c r="L20" s="45"/>
    </row>
    <row r="21" spans="1:15" ht="15" customHeight="1">
      <c r="A21" s="160" t="s">
        <v>119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</row>
    <row r="22" spans="1:15" ht="15" customHeight="1">
      <c r="A22" s="160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</row>
    <row r="23" spans="1:15" ht="15" customHeight="1">
      <c r="A23" s="160" t="s">
        <v>142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</row>
    <row r="24" spans="1:15" ht="19.5" customHeight="1">
      <c r="A24" s="160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</row>
    <row r="25" spans="1:15" ht="19.5" customHeight="1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</row>
    <row r="26" spans="1:15" ht="38.25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</row>
    <row r="27" spans="1:15" ht="15.75" customHeight="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</row>
    <row r="28" spans="1:15" ht="49.5" customHeigh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</row>
    <row r="29" spans="1:15" ht="16.5" hidden="1" customHeight="1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</row>
    <row r="30" spans="1:15" ht="16.5" hidden="1" customHeight="1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</row>
    <row r="31" spans="1:15" ht="16.5" hidden="1" customHeight="1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</row>
    <row r="32" spans="1:15" ht="16.5" hidden="1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</row>
    <row r="33" spans="1:12" ht="16.5" hidden="1" customHeight="1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12" ht="16.5" hidden="1" customHeight="1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12" ht="16.5" hidden="1" customHeight="1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</row>
    <row r="36" spans="1:12" ht="16.5" hidden="1" customHeight="1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</row>
    <row r="37" spans="1:12" ht="16.5" hidden="1" customHeight="1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1:12" ht="4.5" customHeight="1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</row>
    <row r="39" spans="1:12" ht="56.25" customHeight="1">
      <c r="A39" s="224" t="s">
        <v>150</v>
      </c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</row>
    <row r="40" spans="1:12" ht="23.1" customHeight="1">
      <c r="A40" s="139" t="s">
        <v>58</v>
      </c>
      <c r="B40" s="140"/>
      <c r="C40" s="140"/>
      <c r="D40" s="141"/>
      <c r="E40" s="150" t="s">
        <v>52</v>
      </c>
      <c r="F40" s="151"/>
      <c r="G40" s="151"/>
      <c r="H40" s="151"/>
      <c r="I40" s="151"/>
      <c r="J40" s="151"/>
      <c r="K40" s="151"/>
      <c r="L40" s="152"/>
    </row>
    <row r="41" spans="1:12" ht="23.1" customHeight="1">
      <c r="A41" s="139" t="s">
        <v>86</v>
      </c>
      <c r="B41" s="140"/>
      <c r="C41" s="140"/>
      <c r="D41" s="141"/>
      <c r="E41" s="164" t="str">
        <f>+$F$13</f>
        <v>충북 진천군 이월면 신월리 410-5</v>
      </c>
      <c r="F41" s="165"/>
      <c r="G41" s="165"/>
      <c r="H41" s="165"/>
      <c r="I41" s="165"/>
      <c r="J41" s="165"/>
      <c r="K41" s="165"/>
      <c r="L41" s="166"/>
    </row>
    <row r="42" spans="1:12" ht="23.1" customHeight="1">
      <c r="A42" s="225" t="s">
        <v>53</v>
      </c>
      <c r="B42" s="226"/>
      <c r="C42" s="226"/>
      <c r="D42" s="227"/>
      <c r="E42" s="142">
        <f>$F$14</f>
        <v>150</v>
      </c>
      <c r="F42" s="143"/>
      <c r="G42" s="143"/>
      <c r="H42" s="143"/>
      <c r="I42" s="143"/>
      <c r="J42" s="143"/>
      <c r="K42" s="143"/>
      <c r="L42" s="144"/>
    </row>
    <row r="43" spans="1:12" ht="23.1" customHeight="1">
      <c r="A43" s="178" t="s">
        <v>203</v>
      </c>
      <c r="B43" s="179"/>
      <c r="C43" s="179"/>
      <c r="D43" s="180"/>
      <c r="E43" s="27" t="s">
        <v>177</v>
      </c>
      <c r="F43" s="155" t="str">
        <f>"일금   "&amp;NUMBERSTRING(ROUNDDOWN(($J43),0),1)</f>
        <v>일금   일억오천칠백오십만</v>
      </c>
      <c r="G43" s="156"/>
      <c r="H43" s="156"/>
      <c r="I43" s="110" t="s">
        <v>163</v>
      </c>
      <c r="J43" s="153">
        <f>$F$14*$F$15</f>
        <v>157500000</v>
      </c>
      <c r="K43" s="153"/>
      <c r="L43" s="154"/>
    </row>
    <row r="44" spans="1:12" ht="23.1" customHeight="1">
      <c r="A44" s="181"/>
      <c r="B44" s="182"/>
      <c r="C44" s="182"/>
      <c r="D44" s="183"/>
      <c r="E44" s="27" t="s">
        <v>178</v>
      </c>
      <c r="F44" s="155" t="str">
        <f>"일금   "&amp;NUMBERSTRING(ROUNDDOWN(($J44),0),1)</f>
        <v>일금   일천오백칠십오만</v>
      </c>
      <c r="G44" s="156"/>
      <c r="H44" s="156"/>
      <c r="I44" s="110" t="s">
        <v>163</v>
      </c>
      <c r="J44" s="153">
        <f>J43*0.1</f>
        <v>15750000</v>
      </c>
      <c r="K44" s="153"/>
      <c r="L44" s="154"/>
    </row>
    <row r="45" spans="1:12" ht="38.25" customHeight="1">
      <c r="A45" s="181"/>
      <c r="B45" s="182"/>
      <c r="C45" s="182"/>
      <c r="D45" s="183"/>
      <c r="E45" s="109" t="s">
        <v>179</v>
      </c>
      <c r="F45" s="155" t="str">
        <f>"일금   "&amp;NUMBERSTRING(ROUNDDOWN(($J45),0),1)</f>
        <v>일금   일억칠천삼백이십오만</v>
      </c>
      <c r="G45" s="156"/>
      <c r="H45" s="156"/>
      <c r="I45" s="110" t="s">
        <v>163</v>
      </c>
      <c r="J45" s="153">
        <f>$J$43+$J$44</f>
        <v>173250000</v>
      </c>
      <c r="K45" s="153"/>
      <c r="L45" s="154"/>
    </row>
    <row r="46" spans="1:12" ht="50.1" customHeight="1">
      <c r="A46" s="184"/>
      <c r="B46" s="185"/>
      <c r="C46" s="185"/>
      <c r="D46" s="186"/>
      <c r="E46" s="27" t="s">
        <v>180</v>
      </c>
      <c r="F46" s="157" t="s">
        <v>164</v>
      </c>
      <c r="G46" s="158"/>
      <c r="H46" s="158"/>
      <c r="I46" s="158"/>
      <c r="J46" s="158"/>
      <c r="K46" s="158"/>
      <c r="L46" s="159"/>
    </row>
    <row r="47" spans="1:12" ht="23.1" customHeight="1">
      <c r="A47" s="225" t="s">
        <v>103</v>
      </c>
      <c r="B47" s="226"/>
      <c r="C47" s="226"/>
      <c r="D47" s="227"/>
      <c r="E47" s="228" t="s">
        <v>194</v>
      </c>
      <c r="F47" s="229"/>
      <c r="G47" s="229"/>
      <c r="H47" s="229"/>
      <c r="I47" s="229"/>
      <c r="J47" s="229"/>
      <c r="K47" s="229"/>
      <c r="L47" s="230"/>
    </row>
    <row r="48" spans="1:12" ht="23.1" customHeight="1">
      <c r="A48" s="139" t="s">
        <v>54</v>
      </c>
      <c r="B48" s="140"/>
      <c r="C48" s="140"/>
      <c r="D48" s="141"/>
      <c r="E48" s="187" t="s">
        <v>195</v>
      </c>
      <c r="F48" s="188"/>
      <c r="G48" s="188"/>
      <c r="H48" s="188"/>
      <c r="I48" s="188"/>
      <c r="J48" s="188"/>
      <c r="K48" s="188"/>
      <c r="L48" s="189"/>
    </row>
    <row r="49" spans="1:12" ht="23.1" customHeight="1">
      <c r="A49" s="169" t="s">
        <v>55</v>
      </c>
      <c r="B49" s="170"/>
      <c r="C49" s="170"/>
      <c r="D49" s="171"/>
      <c r="E49" s="187" t="s">
        <v>196</v>
      </c>
      <c r="F49" s="188"/>
      <c r="G49" s="188"/>
      <c r="H49" s="188"/>
      <c r="I49" s="188"/>
      <c r="J49" s="188"/>
      <c r="K49" s="188"/>
      <c r="L49" s="189"/>
    </row>
    <row r="50" spans="1:12" ht="23.1" customHeight="1">
      <c r="A50" s="175"/>
      <c r="B50" s="176"/>
      <c r="C50" s="176"/>
      <c r="D50" s="177"/>
      <c r="E50" s="234" t="s">
        <v>197</v>
      </c>
      <c r="F50" s="235"/>
      <c r="G50" s="235"/>
      <c r="H50" s="235"/>
      <c r="I50" s="235"/>
      <c r="J50" s="235"/>
      <c r="K50" s="235"/>
      <c r="L50" s="236"/>
    </row>
    <row r="51" spans="1:12" ht="23.1" customHeight="1">
      <c r="A51" s="169" t="s">
        <v>56</v>
      </c>
      <c r="B51" s="170"/>
      <c r="C51" s="170"/>
      <c r="D51" s="171"/>
      <c r="E51" s="145" t="s">
        <v>193</v>
      </c>
      <c r="F51" s="147" t="s">
        <v>121</v>
      </c>
      <c r="G51" s="148"/>
      <c r="H51" s="148"/>
      <c r="I51" s="148"/>
      <c r="J51" s="148"/>
      <c r="K51" s="148"/>
      <c r="L51" s="149"/>
    </row>
    <row r="52" spans="1:12" ht="23.1" customHeight="1">
      <c r="A52" s="172"/>
      <c r="B52" s="173"/>
      <c r="C52" s="173"/>
      <c r="D52" s="174"/>
      <c r="E52" s="146"/>
      <c r="F52" s="147" t="s">
        <v>122</v>
      </c>
      <c r="G52" s="148"/>
      <c r="H52" s="194">
        <v>735</v>
      </c>
      <c r="I52" s="195"/>
      <c r="J52" s="196" t="s">
        <v>123</v>
      </c>
      <c r="K52" s="196"/>
      <c r="L52" s="115">
        <f>$F$14*1000/$H$52</f>
        <v>204.08163265306123</v>
      </c>
    </row>
    <row r="53" spans="1:12" ht="23.1" customHeight="1">
      <c r="A53" s="172"/>
      <c r="B53" s="173"/>
      <c r="C53" s="173"/>
      <c r="D53" s="174"/>
      <c r="E53" s="27" t="s">
        <v>192</v>
      </c>
      <c r="F53" s="151" t="s">
        <v>100</v>
      </c>
      <c r="G53" s="151"/>
      <c r="H53" s="151"/>
      <c r="I53" s="151"/>
      <c r="J53" s="151"/>
      <c r="K53" s="151"/>
      <c r="L53" s="152"/>
    </row>
    <row r="54" spans="1:12" ht="23.1" customHeight="1">
      <c r="A54" s="175"/>
      <c r="B54" s="176"/>
      <c r="C54" s="176"/>
      <c r="D54" s="177"/>
      <c r="E54" s="27" t="s">
        <v>191</v>
      </c>
      <c r="F54" s="165" t="s">
        <v>98</v>
      </c>
      <c r="G54" s="165"/>
      <c r="H54" s="165"/>
      <c r="I54" s="165"/>
      <c r="J54" s="165"/>
      <c r="K54" s="165"/>
      <c r="L54" s="166"/>
    </row>
    <row r="55" spans="1:12" ht="23.1" customHeight="1">
      <c r="A55" s="139" t="s">
        <v>165</v>
      </c>
      <c r="B55" s="140"/>
      <c r="C55" s="140"/>
      <c r="D55" s="141"/>
      <c r="E55" s="187" t="s">
        <v>187</v>
      </c>
      <c r="F55" s="197"/>
      <c r="G55" s="197"/>
      <c r="H55" s="197"/>
      <c r="I55" s="197"/>
      <c r="J55" s="197"/>
      <c r="K55" s="197"/>
      <c r="L55" s="198"/>
    </row>
    <row r="56" spans="1:12" ht="23.1" customHeight="1">
      <c r="A56" s="139" t="s">
        <v>166</v>
      </c>
      <c r="B56" s="140"/>
      <c r="C56" s="140"/>
      <c r="D56" s="141"/>
      <c r="E56" s="187" t="s">
        <v>167</v>
      </c>
      <c r="F56" s="197"/>
      <c r="G56" s="197"/>
      <c r="H56" s="197"/>
      <c r="I56" s="197"/>
      <c r="J56" s="197"/>
      <c r="K56" s="197"/>
      <c r="L56" s="198"/>
    </row>
    <row r="57" spans="1:12" ht="23.1" customHeight="1">
      <c r="A57" s="139" t="s">
        <v>57</v>
      </c>
      <c r="B57" s="140"/>
      <c r="C57" s="140"/>
      <c r="D57" s="141"/>
      <c r="E57" s="83"/>
      <c r="F57" s="86"/>
      <c r="G57" s="84"/>
      <c r="H57" s="84"/>
      <c r="I57" s="84"/>
      <c r="J57" s="84"/>
      <c r="K57" s="84"/>
      <c r="L57" s="85"/>
    </row>
    <row r="58" spans="1:12" ht="10.9" customHeight="1">
      <c r="A58" s="52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53"/>
    </row>
    <row r="59" spans="1:12" ht="20.100000000000001" customHeight="1">
      <c r="A59" s="190" t="s">
        <v>124</v>
      </c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2"/>
    </row>
    <row r="60" spans="1:12" ht="20.100000000000001" customHeight="1">
      <c r="A60" s="190"/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2"/>
    </row>
    <row r="61" spans="1:12" ht="8.4499999999999993" customHeight="1">
      <c r="A61" s="52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53"/>
    </row>
    <row r="62" spans="1:12" ht="17.25">
      <c r="A62" s="3"/>
      <c r="D62" s="220" t="s">
        <v>188</v>
      </c>
      <c r="E62" s="220"/>
      <c r="F62" s="220"/>
      <c r="G62" s="220"/>
      <c r="H62" s="220"/>
      <c r="I62" s="220"/>
      <c r="L62" s="4"/>
    </row>
    <row r="63" spans="1:12" ht="7.9" customHeight="1">
      <c r="A63" s="3"/>
      <c r="D63" s="100"/>
      <c r="E63" s="100"/>
      <c r="F63" s="100"/>
      <c r="G63" s="100"/>
      <c r="H63" s="100"/>
      <c r="I63" s="101"/>
      <c r="L63" s="4"/>
    </row>
    <row r="64" spans="1:12" ht="20.100000000000001" customHeight="1">
      <c r="A64" s="221" t="s">
        <v>72</v>
      </c>
      <c r="B64" s="222"/>
      <c r="C64" s="223"/>
      <c r="D64" s="223"/>
      <c r="E64" s="223"/>
      <c r="F64" s="223"/>
      <c r="G64" s="223"/>
      <c r="H64" s="223"/>
      <c r="I64" s="223"/>
      <c r="J64" s="223"/>
      <c r="L64" s="4"/>
    </row>
    <row r="65" spans="1:13" ht="20.100000000000001" customHeight="1">
      <c r="A65" s="108" t="s">
        <v>161</v>
      </c>
      <c r="B65" s="25"/>
      <c r="C65" s="25" t="s">
        <v>162</v>
      </c>
      <c r="D65" s="25"/>
      <c r="E65" s="25"/>
      <c r="F65" s="25" t="s">
        <v>110</v>
      </c>
      <c r="G65" s="25"/>
      <c r="L65" s="4"/>
    </row>
    <row r="66" spans="1:13" ht="20.100000000000001" customHeight="1">
      <c r="A66" s="106"/>
      <c r="B66" s="107"/>
      <c r="C66" s="107" t="s">
        <v>160</v>
      </c>
      <c r="D66" s="107"/>
      <c r="E66" s="107"/>
      <c r="F66" s="25" t="s">
        <v>149</v>
      </c>
      <c r="G66" s="25"/>
      <c r="L66" s="4"/>
    </row>
    <row r="67" spans="1:13" ht="4.5" customHeight="1">
      <c r="A67" s="3"/>
      <c r="L67" s="4"/>
    </row>
    <row r="68" spans="1:13" ht="30" customHeight="1">
      <c r="A68" s="237" t="s">
        <v>168</v>
      </c>
      <c r="B68" s="238"/>
      <c r="C68" s="111" t="s">
        <v>169</v>
      </c>
      <c r="D68" s="125" t="str">
        <f>$F$16</f>
        <v>컨텍코리아</v>
      </c>
      <c r="E68" s="125"/>
      <c r="F68" s="112" t="s">
        <v>129</v>
      </c>
      <c r="G68" s="126" t="str">
        <f>$F$18</f>
        <v>010-1234-5678</v>
      </c>
      <c r="H68" s="126"/>
      <c r="I68" s="116" t="s">
        <v>170</v>
      </c>
      <c r="J68" s="116"/>
      <c r="K68" s="117"/>
      <c r="L68" s="118"/>
    </row>
    <row r="69" spans="1:13" ht="24" customHeight="1">
      <c r="A69" s="239"/>
      <c r="B69" s="240"/>
      <c r="C69" s="113" t="s">
        <v>128</v>
      </c>
      <c r="D69" s="231" t="str">
        <f>$F$13</f>
        <v>충북 진천군 이월면 신월리 410-5</v>
      </c>
      <c r="E69" s="119"/>
      <c r="F69" s="119"/>
      <c r="G69" s="119"/>
      <c r="H69" s="119"/>
      <c r="I69" s="120" t="s">
        <v>171</v>
      </c>
      <c r="J69" s="120"/>
      <c r="K69" s="232" t="str">
        <f>$F$17&amp;"        (인)"</f>
        <v>김선생        (인)</v>
      </c>
      <c r="L69" s="233"/>
    </row>
    <row r="70" spans="1:13" ht="24" customHeight="1">
      <c r="A70" s="127" t="s">
        <v>172</v>
      </c>
      <c r="B70" s="123" t="s">
        <v>173</v>
      </c>
      <c r="C70" s="111" t="s">
        <v>169</v>
      </c>
      <c r="D70" s="125" t="s">
        <v>153</v>
      </c>
      <c r="E70" s="125"/>
      <c r="F70" s="112" t="s">
        <v>129</v>
      </c>
      <c r="G70" s="126" t="s">
        <v>154</v>
      </c>
      <c r="H70" s="126"/>
      <c r="I70" s="116" t="s">
        <v>181</v>
      </c>
      <c r="J70" s="116"/>
      <c r="K70" s="117" t="s">
        <v>183</v>
      </c>
      <c r="L70" s="118"/>
    </row>
    <row r="71" spans="1:13" ht="24" customHeight="1">
      <c r="A71" s="128"/>
      <c r="B71" s="124"/>
      <c r="C71" s="113" t="s">
        <v>128</v>
      </c>
      <c r="D71" s="119" t="s">
        <v>176</v>
      </c>
      <c r="E71" s="119"/>
      <c r="F71" s="119"/>
      <c r="G71" s="119"/>
      <c r="H71" s="119"/>
      <c r="I71" s="120" t="s">
        <v>182</v>
      </c>
      <c r="J71" s="120"/>
      <c r="K71" s="121" t="s">
        <v>198</v>
      </c>
      <c r="L71" s="122"/>
    </row>
    <row r="72" spans="1:13" ht="24" customHeight="1">
      <c r="A72" s="128"/>
      <c r="B72" s="123" t="s">
        <v>184</v>
      </c>
      <c r="C72" s="111" t="s">
        <v>169</v>
      </c>
      <c r="D72" s="125" t="s">
        <v>149</v>
      </c>
      <c r="E72" s="125"/>
      <c r="F72" s="112" t="s">
        <v>129</v>
      </c>
      <c r="G72" s="126" t="s">
        <v>186</v>
      </c>
      <c r="H72" s="126"/>
      <c r="I72" s="116" t="s">
        <v>181</v>
      </c>
      <c r="J72" s="116"/>
      <c r="K72" s="117" t="s">
        <v>183</v>
      </c>
      <c r="L72" s="118"/>
    </row>
    <row r="73" spans="1:13" ht="24" customHeight="1">
      <c r="A73" s="129"/>
      <c r="B73" s="124"/>
      <c r="C73" s="113" t="s">
        <v>128</v>
      </c>
      <c r="D73" s="119" t="s">
        <v>185</v>
      </c>
      <c r="E73" s="119"/>
      <c r="F73" s="119"/>
      <c r="G73" s="119"/>
      <c r="H73" s="119"/>
      <c r="I73" s="120" t="s">
        <v>182</v>
      </c>
      <c r="J73" s="120"/>
      <c r="K73" s="121" t="s">
        <v>199</v>
      </c>
      <c r="L73" s="122"/>
    </row>
    <row r="74" spans="1:13" ht="28.5" customHeight="1">
      <c r="A74" s="193" t="s">
        <v>25</v>
      </c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</row>
    <row r="75" spans="1:13" ht="28.5" customHeight="1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</row>
    <row r="76" spans="1:13" ht="17.649999999999999" customHeight="1">
      <c r="A76" s="168" t="s">
        <v>81</v>
      </c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168"/>
    </row>
    <row r="77" spans="1:13" ht="23.25" customHeight="1">
      <c r="A77" s="167" t="s">
        <v>126</v>
      </c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47"/>
    </row>
    <row r="78" spans="1:13" ht="17.649999999999999" customHeight="1">
      <c r="A78" s="167"/>
      <c r="B78" s="167"/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47"/>
    </row>
    <row r="79" spans="1:13" ht="4.9000000000000004" customHeight="1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47"/>
    </row>
    <row r="80" spans="1:13" ht="17.649999999999999" customHeight="1">
      <c r="A80" s="168" t="s">
        <v>73</v>
      </c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</row>
    <row r="81" spans="1:13" ht="17.649999999999999" customHeight="1">
      <c r="A81" s="167" t="s">
        <v>82</v>
      </c>
      <c r="B81" s="167"/>
      <c r="C81" s="167"/>
      <c r="D81" s="167"/>
      <c r="E81" s="167"/>
      <c r="F81" s="167"/>
      <c r="G81" s="167"/>
      <c r="H81" s="167"/>
      <c r="I81" s="167"/>
      <c r="J81" s="167"/>
      <c r="K81" s="167"/>
      <c r="L81" s="167"/>
    </row>
    <row r="82" spans="1:13" ht="20.100000000000001" customHeight="1">
      <c r="A82" s="167" t="s">
        <v>147</v>
      </c>
      <c r="B82" s="167"/>
      <c r="C82" s="167"/>
      <c r="D82" s="167"/>
      <c r="E82" s="167"/>
      <c r="F82" s="167"/>
      <c r="G82" s="167"/>
      <c r="H82" s="167"/>
      <c r="I82" s="167"/>
      <c r="J82" s="167"/>
      <c r="K82" s="167"/>
      <c r="L82" s="167"/>
    </row>
    <row r="83" spans="1:13" ht="23.25" customHeight="1">
      <c r="A83" s="162" t="s">
        <v>115</v>
      </c>
      <c r="B83" s="162"/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25"/>
    </row>
    <row r="84" spans="1:13" ht="17.649999999999999" customHeight="1">
      <c r="A84" s="162"/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</row>
    <row r="85" spans="1:13" ht="21.75" customHeight="1">
      <c r="A85" s="162" t="s">
        <v>132</v>
      </c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</row>
    <row r="86" spans="1:13" ht="17.649999999999999" customHeight="1">
      <c r="A86" s="162"/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</row>
    <row r="87" spans="1:13" ht="21" customHeight="1">
      <c r="A87" s="162" t="s">
        <v>116</v>
      </c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</row>
    <row r="88" spans="1:13" ht="21" customHeight="1">
      <c r="A88" s="162" t="s">
        <v>117</v>
      </c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</row>
    <row r="89" spans="1:13" ht="3" customHeight="1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</row>
    <row r="90" spans="1:13" ht="17.649999999999999" customHeight="1">
      <c r="A90" s="161" t="s">
        <v>74</v>
      </c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</row>
    <row r="91" spans="1:13" ht="21" customHeight="1">
      <c r="A91" s="162" t="s">
        <v>111</v>
      </c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</row>
    <row r="92" spans="1:13" ht="21" customHeight="1">
      <c r="A92" s="162" t="s">
        <v>133</v>
      </c>
      <c r="B92" s="162"/>
      <c r="C92" s="162"/>
      <c r="D92" s="162"/>
      <c r="E92" s="162"/>
      <c r="F92" s="162"/>
      <c r="G92" s="162"/>
      <c r="H92" s="162"/>
      <c r="I92" s="162"/>
      <c r="J92" s="162"/>
      <c r="K92" s="162"/>
      <c r="L92" s="162"/>
    </row>
    <row r="93" spans="1:13" ht="17.649999999999999" customHeight="1">
      <c r="A93" s="162"/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</row>
    <row r="94" spans="1:13" ht="17.649999999999999" customHeight="1">
      <c r="A94" s="162" t="s">
        <v>148</v>
      </c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</row>
    <row r="95" spans="1:13" ht="17.649999999999999" customHeight="1">
      <c r="A95" s="162"/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</row>
    <row r="96" spans="1:13" ht="17.649999999999999" customHeight="1">
      <c r="A96" s="161" t="s">
        <v>112</v>
      </c>
      <c r="B96" s="161"/>
      <c r="C96" s="161"/>
      <c r="D96" s="161"/>
      <c r="E96" s="161"/>
      <c r="F96" s="161"/>
      <c r="G96" s="161"/>
      <c r="H96" s="161"/>
      <c r="I96" s="161"/>
      <c r="J96" s="161"/>
      <c r="K96" s="161"/>
      <c r="L96" s="161"/>
    </row>
    <row r="97" spans="1:15" ht="20.25" customHeight="1">
      <c r="A97" s="162" t="s">
        <v>113</v>
      </c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</row>
    <row r="98" spans="1:15" ht="17.649999999999999" customHeight="1">
      <c r="A98" s="161" t="s">
        <v>75</v>
      </c>
      <c r="B98" s="161"/>
      <c r="C98" s="161"/>
      <c r="D98" s="161"/>
      <c r="E98" s="161"/>
      <c r="F98" s="161"/>
      <c r="G98" s="161"/>
      <c r="H98" s="161"/>
      <c r="I98" s="161"/>
      <c r="J98" s="161"/>
      <c r="K98" s="161"/>
      <c r="L98" s="161"/>
    </row>
    <row r="99" spans="1:15" ht="21" customHeight="1">
      <c r="A99" s="162" t="s">
        <v>130</v>
      </c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</row>
    <row r="100" spans="1:15" ht="17.649999999999999" customHeight="1">
      <c r="A100" s="161" t="s">
        <v>189</v>
      </c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</row>
    <row r="101" spans="1:15" ht="17.649999999999999" customHeight="1">
      <c r="A101" s="162" t="s">
        <v>127</v>
      </c>
      <c r="B101" s="162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</row>
    <row r="102" spans="1:15" ht="17.649999999999999" customHeight="1">
      <c r="A102" s="162" t="s">
        <v>152</v>
      </c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</row>
    <row r="103" spans="1:15" ht="17.649999999999999" customHeight="1">
      <c r="A103" s="161" t="s">
        <v>76</v>
      </c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</row>
    <row r="104" spans="1:15" ht="17.649999999999999" customHeight="1">
      <c r="A104" s="162" t="s">
        <v>131</v>
      </c>
      <c r="B104" s="162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</row>
    <row r="105" spans="1:15" ht="17.649999999999999" customHeight="1">
      <c r="A105" s="162"/>
      <c r="B105" s="162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</row>
    <row r="106" spans="1:15" ht="17.649999999999999" customHeight="1">
      <c r="A106" s="161" t="s">
        <v>77</v>
      </c>
      <c r="B106" s="161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</row>
    <row r="107" spans="1:15" ht="17.649999999999999" customHeight="1">
      <c r="A107" s="162" t="s">
        <v>114</v>
      </c>
      <c r="B107" s="162"/>
      <c r="C107" s="162"/>
      <c r="D107" s="162"/>
      <c r="E107" s="162"/>
      <c r="F107" s="162"/>
      <c r="G107" s="162"/>
      <c r="H107" s="162"/>
      <c r="I107" s="162"/>
      <c r="J107" s="162"/>
      <c r="K107" s="162"/>
      <c r="L107" s="162"/>
    </row>
    <row r="108" spans="1:15" ht="17.649999999999999" customHeight="1">
      <c r="A108" s="161" t="s">
        <v>78</v>
      </c>
      <c r="B108" s="161"/>
      <c r="C108" s="161"/>
      <c r="D108" s="161"/>
      <c r="E108" s="161"/>
      <c r="F108" s="161"/>
      <c r="G108" s="161"/>
      <c r="H108" s="161"/>
      <c r="I108" s="161"/>
      <c r="J108" s="161"/>
      <c r="K108" s="161"/>
      <c r="L108" s="161"/>
    </row>
    <row r="109" spans="1:15" s="55" customFormat="1" ht="17.649999999999999" customHeight="1">
      <c r="A109" s="162" t="s">
        <v>141</v>
      </c>
      <c r="B109" s="162"/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</row>
    <row r="110" spans="1:15" s="55" customFormat="1" ht="17.25" customHeight="1">
      <c r="A110" s="162"/>
      <c r="B110" s="162"/>
      <c r="C110" s="162"/>
      <c r="D110" s="162"/>
      <c r="E110" s="162"/>
      <c r="F110" s="162"/>
      <c r="G110" s="162"/>
      <c r="H110" s="162"/>
      <c r="I110" s="162"/>
      <c r="J110" s="162"/>
      <c r="K110" s="162"/>
      <c r="L110" s="162"/>
    </row>
    <row r="111" spans="1:15" ht="17.649999999999999" customHeight="1">
      <c r="A111" s="161" t="s">
        <v>79</v>
      </c>
      <c r="B111" s="161"/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</row>
    <row r="112" spans="1:15" ht="17.649999999999999" customHeight="1">
      <c r="A112" s="162" t="s">
        <v>134</v>
      </c>
      <c r="B112" s="162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O112" s="26"/>
    </row>
    <row r="113" spans="1:15" ht="17.649999999999999" customHeight="1">
      <c r="A113" s="162"/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O113" s="26"/>
    </row>
    <row r="114" spans="1:15" ht="17.649999999999999" customHeight="1">
      <c r="A114" s="161" t="s">
        <v>80</v>
      </c>
      <c r="B114" s="161"/>
      <c r="C114" s="161"/>
      <c r="D114" s="161"/>
      <c r="E114" s="161"/>
      <c r="F114" s="161"/>
      <c r="G114" s="161"/>
      <c r="H114" s="161"/>
      <c r="I114" s="161"/>
      <c r="J114" s="161"/>
      <c r="K114" s="161"/>
      <c r="L114" s="161"/>
    </row>
    <row r="115" spans="1:15">
      <c r="A115" s="163" t="s">
        <v>151</v>
      </c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</row>
    <row r="116" spans="1:15" ht="17.649999999999999" customHeight="1">
      <c r="A116" s="163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</row>
  </sheetData>
  <mergeCells count="118">
    <mergeCell ref="I68:J68"/>
    <mergeCell ref="I69:J69"/>
    <mergeCell ref="D69:H69"/>
    <mergeCell ref="D68:E68"/>
    <mergeCell ref="K68:L68"/>
    <mergeCell ref="K69:L69"/>
    <mergeCell ref="E50:L50"/>
    <mergeCell ref="E49:L49"/>
    <mergeCell ref="A49:D50"/>
    <mergeCell ref="A55:D55"/>
    <mergeCell ref="E55:L55"/>
    <mergeCell ref="A68:B69"/>
    <mergeCell ref="J45:L45"/>
    <mergeCell ref="D62:I62"/>
    <mergeCell ref="A64:J64"/>
    <mergeCell ref="A48:D48"/>
    <mergeCell ref="A39:L39"/>
    <mergeCell ref="A42:D42"/>
    <mergeCell ref="A41:D41"/>
    <mergeCell ref="A47:D47"/>
    <mergeCell ref="E47:L47"/>
    <mergeCell ref="F14:K14"/>
    <mergeCell ref="F15:K15"/>
    <mergeCell ref="F16:K16"/>
    <mergeCell ref="F17:K17"/>
    <mergeCell ref="A23:L24"/>
    <mergeCell ref="A3:L4"/>
    <mergeCell ref="C6:J6"/>
    <mergeCell ref="C11:J11"/>
    <mergeCell ref="A8:L8"/>
    <mergeCell ref="A9:L9"/>
    <mergeCell ref="F13:K13"/>
    <mergeCell ref="C7:K7"/>
    <mergeCell ref="A10:L10"/>
    <mergeCell ref="F18:K18"/>
    <mergeCell ref="F19:K19"/>
    <mergeCell ref="E20:J20"/>
    <mergeCell ref="A87:L87"/>
    <mergeCell ref="A88:L88"/>
    <mergeCell ref="E41:L41"/>
    <mergeCell ref="A81:L81"/>
    <mergeCell ref="A77:L78"/>
    <mergeCell ref="A80:L80"/>
    <mergeCell ref="A51:D54"/>
    <mergeCell ref="F53:L53"/>
    <mergeCell ref="F54:L54"/>
    <mergeCell ref="A43:D46"/>
    <mergeCell ref="E48:L48"/>
    <mergeCell ref="A59:L60"/>
    <mergeCell ref="A74:L74"/>
    <mergeCell ref="A83:L84"/>
    <mergeCell ref="A85:L86"/>
    <mergeCell ref="A76:L76"/>
    <mergeCell ref="A82:L82"/>
    <mergeCell ref="F52:G52"/>
    <mergeCell ref="H52:I52"/>
    <mergeCell ref="J52:K52"/>
    <mergeCell ref="A56:D56"/>
    <mergeCell ref="E56:L56"/>
    <mergeCell ref="G68:H68"/>
    <mergeCell ref="A57:D57"/>
    <mergeCell ref="A98:L98"/>
    <mergeCell ref="A99:L99"/>
    <mergeCell ref="A94:L95"/>
    <mergeCell ref="A90:L90"/>
    <mergeCell ref="A91:L91"/>
    <mergeCell ref="A115:L116"/>
    <mergeCell ref="A111:L111"/>
    <mergeCell ref="A114:L114"/>
    <mergeCell ref="A109:L110"/>
    <mergeCell ref="A112:L113"/>
    <mergeCell ref="A106:L106"/>
    <mergeCell ref="A107:L107"/>
    <mergeCell ref="A108:L108"/>
    <mergeCell ref="A92:L93"/>
    <mergeCell ref="A101:L101"/>
    <mergeCell ref="A102:L102"/>
    <mergeCell ref="A104:L105"/>
    <mergeCell ref="A100:L100"/>
    <mergeCell ref="A103:L103"/>
    <mergeCell ref="A96:L96"/>
    <mergeCell ref="A97:L97"/>
    <mergeCell ref="A70:A73"/>
    <mergeCell ref="B70:B71"/>
    <mergeCell ref="D70:E70"/>
    <mergeCell ref="C13:E13"/>
    <mergeCell ref="C14:E14"/>
    <mergeCell ref="C15:E15"/>
    <mergeCell ref="C16:E16"/>
    <mergeCell ref="C17:E17"/>
    <mergeCell ref="C18:E18"/>
    <mergeCell ref="C19:E19"/>
    <mergeCell ref="A40:D40"/>
    <mergeCell ref="E42:L42"/>
    <mergeCell ref="E51:E52"/>
    <mergeCell ref="F51:L51"/>
    <mergeCell ref="E40:L40"/>
    <mergeCell ref="J43:L43"/>
    <mergeCell ref="J44:L44"/>
    <mergeCell ref="F43:H43"/>
    <mergeCell ref="F44:H44"/>
    <mergeCell ref="F45:H45"/>
    <mergeCell ref="F46:L46"/>
    <mergeCell ref="A21:L22"/>
    <mergeCell ref="G70:H70"/>
    <mergeCell ref="I70:J70"/>
    <mergeCell ref="K70:L70"/>
    <mergeCell ref="D71:H71"/>
    <mergeCell ref="I71:J71"/>
    <mergeCell ref="K71:L71"/>
    <mergeCell ref="B72:B73"/>
    <mergeCell ref="D72:E72"/>
    <mergeCell ref="G72:H72"/>
    <mergeCell ref="I72:J72"/>
    <mergeCell ref="K72:L72"/>
    <mergeCell ref="D73:H73"/>
    <mergeCell ref="I73:J73"/>
    <mergeCell ref="K73:L73"/>
  </mergeCells>
  <phoneticPr fontId="15" type="noConversion"/>
  <pageMargins left="0.43307086614173229" right="0.39370078740157483" top="0.59055118110236227" bottom="0.74803149606299213" header="0.31496062992125984" footer="0.31496062992125984"/>
  <pageSetup paperSize="9" scale="87" fitToHeight="0" orientation="portrait" r:id="rId1"/>
  <rowBreaks count="2" manualBreakCount="2">
    <brk id="28" max="10" man="1"/>
    <brk id="73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171450</xdr:colOff>
                    <xdr:row>56</xdr:row>
                    <xdr:rowOff>9525</xdr:rowOff>
                  </from>
                  <to>
                    <xdr:col>5</xdr:col>
                    <xdr:colOff>466725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352425</xdr:colOff>
                    <xdr:row>56</xdr:row>
                    <xdr:rowOff>9525</xdr:rowOff>
                  </from>
                  <to>
                    <xdr:col>9</xdr:col>
                    <xdr:colOff>304800</xdr:colOff>
                    <xdr:row>56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FE2A-45DC-42B3-ADE7-D888CB679B7B}">
  <sheetPr>
    <tabColor rgb="FFFFFF00"/>
  </sheetPr>
  <dimension ref="A1:J41"/>
  <sheetViews>
    <sheetView view="pageBreakPreview" topLeftCell="A4" zoomScaleNormal="100" zoomScaleSheetLayoutView="100" workbookViewId="0">
      <selection activeCell="B14" sqref="B14:E14"/>
    </sheetView>
  </sheetViews>
  <sheetFormatPr defaultRowHeight="16.5"/>
  <cols>
    <col min="1" max="1" width="8.875" customWidth="1"/>
    <col min="2" max="2" width="21.125" customWidth="1"/>
    <col min="5" max="5" width="9.875" bestFit="1" customWidth="1"/>
    <col min="6" max="6" width="14.75" customWidth="1"/>
    <col min="7" max="7" width="12.125" style="63" customWidth="1"/>
  </cols>
  <sheetData>
    <row r="1" spans="1:10" ht="39">
      <c r="A1" s="15"/>
      <c r="B1" s="15"/>
      <c r="C1" s="15"/>
      <c r="D1" s="15"/>
      <c r="E1" s="15"/>
      <c r="F1" s="15"/>
    </row>
    <row r="2" spans="1:10" ht="16.5" customHeight="1">
      <c r="A2" s="250" t="s">
        <v>66</v>
      </c>
      <c r="B2" s="250"/>
      <c r="C2" s="250"/>
      <c r="D2" s="250"/>
      <c r="E2" s="250"/>
      <c r="F2" s="250"/>
      <c r="G2" s="250"/>
    </row>
    <row r="3" spans="1:10" ht="16.5" customHeight="1">
      <c r="A3" s="250"/>
      <c r="B3" s="250"/>
      <c r="C3" s="250"/>
      <c r="D3" s="250"/>
      <c r="E3" s="250"/>
      <c r="F3" s="250"/>
      <c r="G3" s="250"/>
    </row>
    <row r="4" spans="1:10" ht="19.5" customHeight="1"/>
    <row r="5" spans="1:10" ht="17.25" thickBot="1"/>
    <row r="6" spans="1:10" ht="19.5" customHeight="1">
      <c r="A6" s="36" t="s">
        <v>61</v>
      </c>
      <c r="B6" s="37">
        <f ca="1">TODAY()</f>
        <v>46134</v>
      </c>
      <c r="D6" s="33" t="s">
        <v>11</v>
      </c>
      <c r="E6" s="251" t="str">
        <f>계약서!C72</f>
        <v>상호</v>
      </c>
      <c r="F6" s="252"/>
      <c r="G6" s="253"/>
    </row>
    <row r="7" spans="1:10" ht="19.5" customHeight="1">
      <c r="A7" s="31" t="s">
        <v>21</v>
      </c>
      <c r="B7" s="114">
        <f>계약서!F14</f>
        <v>150</v>
      </c>
      <c r="D7" s="34" t="s">
        <v>63</v>
      </c>
      <c r="E7" s="254" t="s">
        <v>190</v>
      </c>
      <c r="F7" s="255"/>
      <c r="G7" s="256"/>
    </row>
    <row r="8" spans="1:10" ht="19.5" customHeight="1">
      <c r="A8" s="38" t="s">
        <v>62</v>
      </c>
      <c r="B8" s="39" t="str">
        <f>계약서!F16</f>
        <v>컨텍코리아</v>
      </c>
      <c r="D8" s="34" t="s">
        <v>12</v>
      </c>
      <c r="E8" s="89" t="s">
        <v>120</v>
      </c>
      <c r="F8" s="257" t="s">
        <v>50</v>
      </c>
      <c r="G8" s="258"/>
    </row>
    <row r="9" spans="1:10" ht="17.25" thickBot="1">
      <c r="A9" s="40"/>
      <c r="B9" s="5"/>
      <c r="D9" s="34" t="s">
        <v>64</v>
      </c>
      <c r="E9" s="259" t="s">
        <v>125</v>
      </c>
      <c r="F9" s="260"/>
      <c r="G9" s="261"/>
    </row>
    <row r="10" spans="1:10" ht="19.5" customHeight="1">
      <c r="D10" s="34" t="s">
        <v>6</v>
      </c>
      <c r="E10" s="262" t="s">
        <v>139</v>
      </c>
      <c r="F10" s="263"/>
      <c r="G10" s="264"/>
    </row>
    <row r="11" spans="1:10" ht="17.25" thickBot="1">
      <c r="A11" s="265" t="s">
        <v>67</v>
      </c>
      <c r="B11" s="266"/>
      <c r="D11" s="35" t="s">
        <v>26</v>
      </c>
      <c r="E11" s="267" t="s">
        <v>154</v>
      </c>
      <c r="F11" s="268"/>
      <c r="G11" s="269"/>
    </row>
    <row r="12" spans="1:10" ht="17.25" thickBot="1"/>
    <row r="13" spans="1:10" ht="19.5" customHeight="1">
      <c r="A13" s="270" t="s">
        <v>92</v>
      </c>
      <c r="B13" s="271"/>
      <c r="C13" s="271"/>
      <c r="D13" s="271"/>
      <c r="E13" s="271"/>
      <c r="F13" s="271"/>
      <c r="G13" s="272"/>
    </row>
    <row r="14" spans="1:10" ht="19.5" customHeight="1">
      <c r="A14" s="28" t="s">
        <v>60</v>
      </c>
      <c r="B14" s="273" t="str">
        <f>"일금"&amp;NUMBERSTRING(ROUNDDOWN(F30,-5),1)&amp;"원정(십만단위절사)"</f>
        <v>일금일억오천칠백오십만원정(십만단위절사)</v>
      </c>
      <c r="C14" s="273"/>
      <c r="D14" s="273"/>
      <c r="E14" s="274"/>
      <c r="F14" s="275">
        <f>F30</f>
        <v>157500000</v>
      </c>
      <c r="G14" s="276"/>
      <c r="I14" s="10" t="s">
        <v>13</v>
      </c>
      <c r="J14" s="10">
        <f>계약서!F15</f>
        <v>1050000</v>
      </c>
    </row>
    <row r="15" spans="1:10" ht="17.25" thickBot="1">
      <c r="A15" s="29" t="s">
        <v>41</v>
      </c>
      <c r="B15" s="14" t="s">
        <v>38</v>
      </c>
      <c r="C15" s="13" t="s">
        <v>34</v>
      </c>
      <c r="D15" s="13" t="s">
        <v>32</v>
      </c>
      <c r="E15" s="13" t="s">
        <v>29</v>
      </c>
      <c r="F15" s="13" t="s">
        <v>8</v>
      </c>
      <c r="G15" s="72" t="s">
        <v>27</v>
      </c>
      <c r="I15" t="s">
        <v>24</v>
      </c>
    </row>
    <row r="16" spans="1:10" ht="19.5" customHeight="1" thickTop="1">
      <c r="A16" s="30">
        <v>1</v>
      </c>
      <c r="B16" s="12" t="s">
        <v>23</v>
      </c>
      <c r="C16" s="48" t="s">
        <v>84</v>
      </c>
      <c r="D16" s="20">
        <f>계약서!F14</f>
        <v>150</v>
      </c>
      <c r="E16" s="11">
        <f>$J$14*I16</f>
        <v>210000</v>
      </c>
      <c r="F16" s="11">
        <f t="shared" ref="F16:F28" si="0">D16*E16</f>
        <v>31500000</v>
      </c>
      <c r="G16" s="64"/>
      <c r="I16" s="55">
        <v>0.2</v>
      </c>
    </row>
    <row r="17" spans="1:9" ht="19.5" customHeight="1">
      <c r="A17" s="31">
        <v>2</v>
      </c>
      <c r="B17" s="10" t="s">
        <v>44</v>
      </c>
      <c r="C17" s="1" t="s">
        <v>85</v>
      </c>
      <c r="D17" s="20">
        <f>+$D$16</f>
        <v>150</v>
      </c>
      <c r="E17" s="9">
        <f t="shared" ref="E17:E27" si="1">$J$14*I17</f>
        <v>84000</v>
      </c>
      <c r="F17" s="9">
        <f t="shared" si="0"/>
        <v>12600000</v>
      </c>
      <c r="G17" s="65"/>
      <c r="I17">
        <v>0.08</v>
      </c>
    </row>
    <row r="18" spans="1:9" ht="19.5" customHeight="1">
      <c r="A18" s="31">
        <v>3</v>
      </c>
      <c r="B18" s="46" t="s">
        <v>69</v>
      </c>
      <c r="C18" s="1" t="s">
        <v>85</v>
      </c>
      <c r="D18" s="20">
        <f t="shared" ref="D18:D28" si="2">+$D$16</f>
        <v>150</v>
      </c>
      <c r="E18" s="9">
        <f t="shared" si="1"/>
        <v>157500</v>
      </c>
      <c r="F18" s="9">
        <f t="shared" si="0"/>
        <v>23625000</v>
      </c>
      <c r="G18" s="65"/>
      <c r="I18" s="55">
        <v>0.15</v>
      </c>
    </row>
    <row r="19" spans="1:9" ht="19.5" customHeight="1">
      <c r="A19" s="31">
        <v>4</v>
      </c>
      <c r="B19" s="10" t="s">
        <v>5</v>
      </c>
      <c r="C19" s="1" t="s">
        <v>85</v>
      </c>
      <c r="D19" s="20">
        <f t="shared" si="2"/>
        <v>150</v>
      </c>
      <c r="E19" s="9">
        <f t="shared" si="1"/>
        <v>120750</v>
      </c>
      <c r="F19" s="9">
        <f t="shared" si="0"/>
        <v>18112500</v>
      </c>
      <c r="G19" s="65"/>
      <c r="I19" s="49">
        <v>0.115</v>
      </c>
    </row>
    <row r="20" spans="1:9" ht="19.5" customHeight="1">
      <c r="A20" s="31">
        <v>5</v>
      </c>
      <c r="B20" s="10" t="s">
        <v>10</v>
      </c>
      <c r="C20" s="1" t="s">
        <v>85</v>
      </c>
      <c r="D20" s="20">
        <f t="shared" si="2"/>
        <v>150</v>
      </c>
      <c r="E20" s="9">
        <f t="shared" si="1"/>
        <v>183750</v>
      </c>
      <c r="F20" s="9">
        <f t="shared" si="0"/>
        <v>27562500</v>
      </c>
      <c r="G20" s="65"/>
      <c r="I20" s="56">
        <v>0.17499999999999999</v>
      </c>
    </row>
    <row r="21" spans="1:9" ht="19.5" customHeight="1">
      <c r="A21" s="31">
        <v>6</v>
      </c>
      <c r="B21" s="46" t="s">
        <v>68</v>
      </c>
      <c r="C21" s="1" t="s">
        <v>85</v>
      </c>
      <c r="D21" s="20">
        <f t="shared" si="2"/>
        <v>150</v>
      </c>
      <c r="E21" s="9">
        <f t="shared" si="1"/>
        <v>21000</v>
      </c>
      <c r="F21" s="9">
        <f t="shared" si="0"/>
        <v>3150000</v>
      </c>
      <c r="G21" s="65"/>
      <c r="I21">
        <v>0.02</v>
      </c>
    </row>
    <row r="22" spans="1:9" ht="19.5" customHeight="1">
      <c r="A22" s="31">
        <v>7</v>
      </c>
      <c r="B22" s="46" t="s">
        <v>70</v>
      </c>
      <c r="C22" s="1" t="s">
        <v>85</v>
      </c>
      <c r="D22" s="20">
        <f t="shared" si="2"/>
        <v>150</v>
      </c>
      <c r="E22" s="9">
        <f t="shared" si="1"/>
        <v>63000</v>
      </c>
      <c r="F22" s="9">
        <f t="shared" si="0"/>
        <v>9450000</v>
      </c>
      <c r="G22" s="65"/>
      <c r="I22">
        <v>0.06</v>
      </c>
    </row>
    <row r="23" spans="1:9" ht="19.5" customHeight="1">
      <c r="A23" s="31">
        <v>8</v>
      </c>
      <c r="B23" s="46" t="s">
        <v>71</v>
      </c>
      <c r="C23" s="1" t="s">
        <v>85</v>
      </c>
      <c r="D23" s="20">
        <f t="shared" si="2"/>
        <v>150</v>
      </c>
      <c r="E23" s="9">
        <f t="shared" si="1"/>
        <v>73500</v>
      </c>
      <c r="F23" s="9">
        <f t="shared" si="0"/>
        <v>11025000</v>
      </c>
      <c r="G23" s="65"/>
      <c r="I23">
        <v>7.0000000000000007E-2</v>
      </c>
    </row>
    <row r="24" spans="1:9" ht="19.5" customHeight="1">
      <c r="A24" s="31">
        <v>9</v>
      </c>
      <c r="B24" s="10" t="s">
        <v>45</v>
      </c>
      <c r="C24" s="1" t="s">
        <v>85</v>
      </c>
      <c r="D24" s="20">
        <f t="shared" si="2"/>
        <v>150</v>
      </c>
      <c r="E24" s="9">
        <f t="shared" si="1"/>
        <v>31500</v>
      </c>
      <c r="F24" s="9">
        <f t="shared" si="0"/>
        <v>4725000</v>
      </c>
      <c r="G24" s="65"/>
      <c r="I24">
        <v>0.03</v>
      </c>
    </row>
    <row r="25" spans="1:9" ht="19.5" customHeight="1">
      <c r="A25" s="31">
        <v>10</v>
      </c>
      <c r="B25" s="46" t="s">
        <v>83</v>
      </c>
      <c r="C25" s="1" t="s">
        <v>85</v>
      </c>
      <c r="D25" s="20">
        <f t="shared" si="2"/>
        <v>150</v>
      </c>
      <c r="E25" s="9">
        <f t="shared" si="1"/>
        <v>52500</v>
      </c>
      <c r="F25" s="9">
        <f t="shared" si="0"/>
        <v>7875000</v>
      </c>
      <c r="G25" s="65"/>
      <c r="I25">
        <v>0.05</v>
      </c>
    </row>
    <row r="26" spans="1:9" ht="19.5" customHeight="1">
      <c r="A26" s="31">
        <v>11</v>
      </c>
      <c r="B26" s="46" t="s">
        <v>97</v>
      </c>
      <c r="C26" s="1" t="s">
        <v>85</v>
      </c>
      <c r="D26" s="20">
        <f t="shared" si="2"/>
        <v>150</v>
      </c>
      <c r="E26" s="9">
        <f t="shared" si="1"/>
        <v>31500</v>
      </c>
      <c r="F26" s="9">
        <f t="shared" si="0"/>
        <v>4725000</v>
      </c>
      <c r="G26" s="65"/>
      <c r="I26">
        <v>0.03</v>
      </c>
    </row>
    <row r="27" spans="1:9" ht="19.5" customHeight="1">
      <c r="A27" s="31">
        <v>12</v>
      </c>
      <c r="B27" s="46" t="s">
        <v>101</v>
      </c>
      <c r="C27" s="1" t="s">
        <v>85</v>
      </c>
      <c r="D27" s="20">
        <f t="shared" si="2"/>
        <v>150</v>
      </c>
      <c r="E27" s="9">
        <f t="shared" si="1"/>
        <v>21000</v>
      </c>
      <c r="F27" s="9">
        <f t="shared" si="0"/>
        <v>3150000</v>
      </c>
      <c r="G27" s="65"/>
      <c r="I27">
        <v>0.02</v>
      </c>
    </row>
    <row r="28" spans="1:9" ht="19.5" hidden="1" customHeight="1">
      <c r="A28" s="77">
        <v>13</v>
      </c>
      <c r="B28" s="78" t="s">
        <v>96</v>
      </c>
      <c r="C28" s="79" t="s">
        <v>85</v>
      </c>
      <c r="D28" s="80">
        <f t="shared" si="2"/>
        <v>150</v>
      </c>
      <c r="E28" s="81"/>
      <c r="F28" s="81">
        <f t="shared" si="0"/>
        <v>0</v>
      </c>
      <c r="G28" s="66"/>
      <c r="I28" s="55">
        <v>0.09</v>
      </c>
    </row>
    <row r="29" spans="1:9" ht="19.5" customHeight="1">
      <c r="A29" s="31"/>
      <c r="B29" s="21"/>
      <c r="C29" s="22"/>
      <c r="D29" s="23"/>
      <c r="E29" s="24"/>
      <c r="F29" s="24"/>
      <c r="G29" s="66"/>
    </row>
    <row r="30" spans="1:9" ht="17.25" thickBot="1">
      <c r="A30" s="32"/>
      <c r="B30" s="8" t="s">
        <v>47</v>
      </c>
      <c r="C30" s="8"/>
      <c r="D30" s="8"/>
      <c r="E30" s="7"/>
      <c r="F30" s="6">
        <f>SUM(F16:F29)</f>
        <v>157500000</v>
      </c>
      <c r="G30" s="67"/>
      <c r="I30">
        <f>SUM(I16:I29)</f>
        <v>1.0900000000000003</v>
      </c>
    </row>
    <row r="31" spans="1:9" ht="19.5" customHeight="1">
      <c r="A31" s="41"/>
      <c r="G31" s="68"/>
    </row>
    <row r="32" spans="1:9" ht="19.5" customHeight="1">
      <c r="A32" s="42" t="s">
        <v>0</v>
      </c>
      <c r="B32" s="43"/>
      <c r="C32" s="43"/>
      <c r="D32" s="43"/>
      <c r="E32" s="43"/>
      <c r="G32" s="68"/>
    </row>
    <row r="33" spans="1:7" ht="19.5" customHeight="1">
      <c r="A33" s="42"/>
      <c r="B33" s="43"/>
      <c r="C33" s="43"/>
      <c r="D33" s="43"/>
      <c r="E33" s="43"/>
      <c r="G33" s="68"/>
    </row>
    <row r="34" spans="1:7" ht="19.5" customHeight="1">
      <c r="A34" s="41"/>
      <c r="G34" s="68"/>
    </row>
    <row r="35" spans="1:7" ht="16.5" customHeight="1">
      <c r="A35" s="241" t="s">
        <v>143</v>
      </c>
      <c r="B35" s="242"/>
      <c r="C35" s="242"/>
      <c r="D35" s="242"/>
      <c r="E35" s="242"/>
      <c r="F35" s="242"/>
      <c r="G35" s="243"/>
    </row>
    <row r="36" spans="1:7">
      <c r="A36" s="244"/>
      <c r="B36" s="245"/>
      <c r="C36" s="245"/>
      <c r="D36" s="245"/>
      <c r="E36" s="245"/>
      <c r="F36" s="245"/>
      <c r="G36" s="246"/>
    </row>
    <row r="37" spans="1:7">
      <c r="A37" s="244"/>
      <c r="B37" s="245"/>
      <c r="C37" s="245"/>
      <c r="D37" s="245"/>
      <c r="E37" s="245"/>
      <c r="F37" s="245"/>
      <c r="G37" s="246"/>
    </row>
    <row r="38" spans="1:7">
      <c r="A38" s="244"/>
      <c r="B38" s="245"/>
      <c r="C38" s="245"/>
      <c r="D38" s="245"/>
      <c r="E38" s="245"/>
      <c r="F38" s="245"/>
      <c r="G38" s="246"/>
    </row>
    <row r="39" spans="1:7">
      <c r="A39" s="244"/>
      <c r="B39" s="245"/>
      <c r="C39" s="245"/>
      <c r="D39" s="245"/>
      <c r="E39" s="245"/>
      <c r="F39" s="245"/>
      <c r="G39" s="246"/>
    </row>
    <row r="40" spans="1:7">
      <c r="A40" s="244"/>
      <c r="B40" s="245"/>
      <c r="C40" s="245"/>
      <c r="D40" s="245"/>
      <c r="E40" s="245"/>
      <c r="F40" s="245"/>
      <c r="G40" s="246"/>
    </row>
    <row r="41" spans="1:7" ht="17.25" thickBot="1">
      <c r="A41" s="247"/>
      <c r="B41" s="248"/>
      <c r="C41" s="248"/>
      <c r="D41" s="248"/>
      <c r="E41" s="248"/>
      <c r="F41" s="248"/>
      <c r="G41" s="249"/>
    </row>
  </sheetData>
  <mergeCells count="12">
    <mergeCell ref="A35:G41"/>
    <mergeCell ref="A2:G3"/>
    <mergeCell ref="E6:G6"/>
    <mergeCell ref="E7:G7"/>
    <mergeCell ref="F8:G8"/>
    <mergeCell ref="E9:G9"/>
    <mergeCell ref="E10:G10"/>
    <mergeCell ref="A11:B11"/>
    <mergeCell ref="E11:G11"/>
    <mergeCell ref="A13:G13"/>
    <mergeCell ref="B14:E14"/>
    <mergeCell ref="F14:G14"/>
  </mergeCells>
  <phoneticPr fontId="15" type="noConversion"/>
  <hyperlinks>
    <hyperlink ref="E10" r:id="rId1" xr:uid="{6666FFEE-0BD5-49DA-8585-B2D7F35ACE3D}"/>
  </hyperlinks>
  <pageMargins left="0.7" right="0.7" top="0.75" bottom="0.75" header="0.3" footer="0.3"/>
  <pageSetup paperSize="9" scale="92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B1:U19"/>
  <sheetViews>
    <sheetView view="pageBreakPreview" zoomScaleNormal="100" zoomScaleSheetLayoutView="100" workbookViewId="0">
      <selection activeCell="B1" sqref="B1:M3"/>
    </sheetView>
  </sheetViews>
  <sheetFormatPr defaultRowHeight="16.5"/>
  <cols>
    <col min="1" max="1" width="0.25" customWidth="1"/>
    <col min="2" max="3" width="11" customWidth="1"/>
    <col min="4" max="4" width="9.875" customWidth="1"/>
    <col min="5" max="5" width="11" customWidth="1"/>
    <col min="6" max="6" width="9.875" customWidth="1"/>
    <col min="7" max="7" width="11.5" customWidth="1"/>
    <col min="8" max="9" width="9.875" customWidth="1"/>
    <col min="10" max="13" width="9.625" customWidth="1"/>
    <col min="14" max="14" width="0.125" hidden="1" customWidth="1"/>
    <col min="15" max="15" width="7.25" customWidth="1"/>
    <col min="16" max="21" width="0" hidden="1" customWidth="1"/>
    <col min="27" max="27" width="9.375" bestFit="1" customWidth="1"/>
  </cols>
  <sheetData>
    <row r="1" spans="2:21" ht="16.5" customHeight="1">
      <c r="B1" s="307" t="s">
        <v>99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</row>
    <row r="2" spans="2:21" ht="16.5" customHeight="1"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</row>
    <row r="3" spans="2:21" ht="27" customHeight="1"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</row>
    <row r="4" spans="2:21" ht="17.25" thickBot="1">
      <c r="B4" s="313" t="s">
        <v>135</v>
      </c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2:21" ht="30" customHeight="1">
      <c r="B5" s="308" t="s">
        <v>20</v>
      </c>
      <c r="C5" s="309"/>
      <c r="D5" s="309"/>
      <c r="E5" s="309"/>
      <c r="F5" s="58">
        <f>+계약서!F14</f>
        <v>150</v>
      </c>
      <c r="G5" s="59"/>
      <c r="H5" s="59"/>
      <c r="I5" s="59"/>
      <c r="J5" s="305"/>
      <c r="K5" s="305"/>
      <c r="L5" s="305"/>
      <c r="M5" s="306"/>
    </row>
    <row r="6" spans="2:21" ht="30" customHeight="1">
      <c r="B6" s="310" t="s">
        <v>155</v>
      </c>
      <c r="C6" s="208"/>
      <c r="D6" s="208"/>
      <c r="E6" s="57" t="s">
        <v>95</v>
      </c>
      <c r="F6" s="315">
        <f>+계약서!F15</f>
        <v>1050000</v>
      </c>
      <c r="G6" s="316"/>
      <c r="H6" s="316"/>
      <c r="I6" s="316"/>
      <c r="J6" s="316"/>
      <c r="K6" s="316"/>
      <c r="L6" s="103" t="s">
        <v>93</v>
      </c>
      <c r="M6" s="60"/>
      <c r="P6" s="326" t="e">
        <f>+#REF!</f>
        <v>#REF!</v>
      </c>
      <c r="Q6" s="327"/>
      <c r="R6" s="54" t="s">
        <v>93</v>
      </c>
      <c r="S6" s="326" t="e">
        <f>P6-2000000</f>
        <v>#REF!</v>
      </c>
      <c r="T6" s="327"/>
      <c r="U6" s="54" t="s">
        <v>93</v>
      </c>
    </row>
    <row r="7" spans="2:21" ht="30" customHeight="1">
      <c r="B7" s="311"/>
      <c r="C7" s="312"/>
      <c r="D7" s="312"/>
      <c r="E7" s="57" t="s">
        <v>94</v>
      </c>
      <c r="F7" s="315">
        <f>F6*H10</f>
        <v>157500000</v>
      </c>
      <c r="G7" s="316"/>
      <c r="H7" s="316"/>
      <c r="I7" s="316"/>
      <c r="J7" s="316"/>
      <c r="K7" s="316"/>
      <c r="L7" s="103" t="s">
        <v>93</v>
      </c>
      <c r="M7" s="60"/>
      <c r="P7" s="326" t="e">
        <f>+#REF!</f>
        <v>#REF!</v>
      </c>
      <c r="Q7" s="327"/>
      <c r="R7" s="54" t="s">
        <v>93</v>
      </c>
      <c r="S7" s="326" t="e">
        <f>P7-2000000</f>
        <v>#REF!</v>
      </c>
      <c r="T7" s="327"/>
      <c r="U7" s="54" t="s">
        <v>93</v>
      </c>
    </row>
    <row r="8" spans="2:21" ht="17.25" thickBot="1">
      <c r="L8" s="104"/>
    </row>
    <row r="9" spans="2:21" ht="30" customHeight="1">
      <c r="B9" s="277" t="s">
        <v>43</v>
      </c>
      <c r="C9" s="278"/>
      <c r="D9" s="279" t="s">
        <v>16</v>
      </c>
      <c r="E9" s="280"/>
      <c r="F9" s="278"/>
      <c r="G9" s="61" t="s">
        <v>34</v>
      </c>
      <c r="H9" s="279" t="s">
        <v>40</v>
      </c>
      <c r="I9" s="280"/>
      <c r="J9" s="279" t="s">
        <v>27</v>
      </c>
      <c r="K9" s="280"/>
      <c r="L9" s="280"/>
      <c r="M9" s="317"/>
    </row>
    <row r="10" spans="2:21" ht="30" customHeight="1">
      <c r="B10" s="281" t="s">
        <v>35</v>
      </c>
      <c r="C10" s="282"/>
      <c r="D10" s="283" t="s">
        <v>15</v>
      </c>
      <c r="E10" s="284"/>
      <c r="F10" s="282"/>
      <c r="G10" s="27" t="s">
        <v>51</v>
      </c>
      <c r="H10" s="296">
        <f>+계약서!F14</f>
        <v>150</v>
      </c>
      <c r="I10" s="297"/>
      <c r="J10" s="283"/>
      <c r="K10" s="284"/>
      <c r="L10" s="284"/>
      <c r="M10" s="318"/>
    </row>
    <row r="11" spans="2:21" ht="30" customHeight="1">
      <c r="B11" s="281"/>
      <c r="C11" s="282"/>
      <c r="D11" s="283" t="s">
        <v>48</v>
      </c>
      <c r="E11" s="284"/>
      <c r="F11" s="282"/>
      <c r="G11" s="1" t="s">
        <v>49</v>
      </c>
      <c r="H11" s="298">
        <v>230</v>
      </c>
      <c r="I11" s="299"/>
      <c r="J11" s="150" t="s">
        <v>144</v>
      </c>
      <c r="K11" s="151"/>
      <c r="L11" s="151"/>
      <c r="M11" s="319"/>
    </row>
    <row r="12" spans="2:21" ht="30" customHeight="1">
      <c r="B12" s="281"/>
      <c r="C12" s="282"/>
      <c r="D12" s="286" t="s">
        <v>17</v>
      </c>
      <c r="E12" s="283" t="s">
        <v>3</v>
      </c>
      <c r="F12" s="282"/>
      <c r="G12" s="1" t="s">
        <v>19</v>
      </c>
      <c r="H12" s="287">
        <v>4</v>
      </c>
      <c r="I12" s="288"/>
      <c r="J12" s="283" t="s">
        <v>28</v>
      </c>
      <c r="K12" s="284"/>
      <c r="L12" s="284"/>
      <c r="M12" s="318"/>
    </row>
    <row r="13" spans="2:21" ht="30" customHeight="1">
      <c r="B13" s="281"/>
      <c r="C13" s="282"/>
      <c r="D13" s="286"/>
      <c r="E13" s="283" t="s">
        <v>14</v>
      </c>
      <c r="F13" s="282"/>
      <c r="G13" s="16" t="s">
        <v>18</v>
      </c>
      <c r="H13" s="285">
        <v>-4.0000000000000001E-3</v>
      </c>
      <c r="I13" s="286"/>
      <c r="J13" s="320" t="s">
        <v>136</v>
      </c>
      <c r="K13" s="321"/>
      <c r="L13" s="321"/>
      <c r="M13" s="322"/>
    </row>
    <row r="14" spans="2:21" ht="30" customHeight="1">
      <c r="B14" s="281" t="s">
        <v>30</v>
      </c>
      <c r="C14" s="282"/>
      <c r="D14" s="324" t="s">
        <v>2</v>
      </c>
      <c r="E14" s="301"/>
      <c r="F14" s="325"/>
      <c r="G14" s="91" t="s">
        <v>37</v>
      </c>
      <c r="H14" s="289">
        <v>80000</v>
      </c>
      <c r="I14" s="290"/>
      <c r="J14" s="300" t="s">
        <v>137</v>
      </c>
      <c r="K14" s="301"/>
      <c r="L14" s="301"/>
      <c r="M14" s="302"/>
    </row>
    <row r="15" spans="2:21" ht="30" customHeight="1" thickBot="1">
      <c r="B15" s="323"/>
      <c r="C15" s="293"/>
      <c r="D15" s="291" t="s">
        <v>4</v>
      </c>
      <c r="E15" s="292"/>
      <c r="F15" s="293"/>
      <c r="G15" s="62" t="s">
        <v>37</v>
      </c>
      <c r="H15" s="294"/>
      <c r="I15" s="295"/>
      <c r="J15" s="303" t="s">
        <v>138</v>
      </c>
      <c r="K15" s="292"/>
      <c r="L15" s="292"/>
      <c r="M15" s="304"/>
    </row>
    <row r="16" spans="2:21" ht="17.25" thickBot="1">
      <c r="B16" s="2"/>
      <c r="C16" s="2"/>
      <c r="D16" s="2"/>
      <c r="E16" s="2"/>
      <c r="F16" s="92"/>
      <c r="G16" s="87"/>
      <c r="H16" s="88"/>
      <c r="I16" s="88"/>
      <c r="J16" s="82"/>
      <c r="K16" s="2"/>
      <c r="L16" s="2"/>
      <c r="M16" s="2"/>
    </row>
    <row r="17" spans="2:13" ht="30" customHeight="1">
      <c r="B17" s="333" t="s">
        <v>43</v>
      </c>
      <c r="C17" s="334"/>
      <c r="D17" s="335" t="s">
        <v>33</v>
      </c>
      <c r="E17" s="336"/>
      <c r="F17" s="334"/>
      <c r="G17" s="337" t="s">
        <v>7</v>
      </c>
      <c r="H17" s="338"/>
      <c r="I17" s="339"/>
      <c r="J17" s="335" t="s">
        <v>22</v>
      </c>
      <c r="K17" s="336"/>
      <c r="L17" s="336"/>
      <c r="M17" s="340"/>
    </row>
    <row r="18" spans="2:13" ht="30" customHeight="1">
      <c r="B18" s="328" t="s">
        <v>156</v>
      </c>
      <c r="C18" s="282"/>
      <c r="D18" s="329">
        <f>(H10*H12*30)*H11</f>
        <v>4140000</v>
      </c>
      <c r="E18" s="330"/>
      <c r="F18" s="331"/>
      <c r="G18" s="329">
        <f>G19/12</f>
        <v>80000</v>
      </c>
      <c r="H18" s="330"/>
      <c r="I18" s="331"/>
      <c r="J18" s="329">
        <f>D18-G18</f>
        <v>4060000</v>
      </c>
      <c r="K18" s="330"/>
      <c r="L18" s="330"/>
      <c r="M18" s="332"/>
    </row>
    <row r="19" spans="2:13" ht="30" customHeight="1">
      <c r="B19" s="328" t="s">
        <v>157</v>
      </c>
      <c r="C19" s="152"/>
      <c r="D19" s="329">
        <f>D18*12</f>
        <v>49680000</v>
      </c>
      <c r="E19" s="330"/>
      <c r="F19" s="331"/>
      <c r="G19" s="329">
        <f>AVERAGE(예상수익표!D5:D14)</f>
        <v>960000</v>
      </c>
      <c r="H19" s="330"/>
      <c r="I19" s="331"/>
      <c r="J19" s="329">
        <f>D19-G19</f>
        <v>48720000</v>
      </c>
      <c r="K19" s="330"/>
      <c r="L19" s="330"/>
      <c r="M19" s="332"/>
    </row>
  </sheetData>
  <mergeCells count="48">
    <mergeCell ref="P6:Q6"/>
    <mergeCell ref="S6:T6"/>
    <mergeCell ref="P7:Q7"/>
    <mergeCell ref="S7:T7"/>
    <mergeCell ref="B19:C19"/>
    <mergeCell ref="D19:F19"/>
    <mergeCell ref="G19:I19"/>
    <mergeCell ref="J19:M19"/>
    <mergeCell ref="B17:C17"/>
    <mergeCell ref="D17:F17"/>
    <mergeCell ref="G17:I17"/>
    <mergeCell ref="J17:M17"/>
    <mergeCell ref="B18:C18"/>
    <mergeCell ref="D18:F18"/>
    <mergeCell ref="G18:I18"/>
    <mergeCell ref="J18:M18"/>
    <mergeCell ref="J14:M14"/>
    <mergeCell ref="J15:M15"/>
    <mergeCell ref="J5:M5"/>
    <mergeCell ref="B1:M3"/>
    <mergeCell ref="B5:E5"/>
    <mergeCell ref="B6:D7"/>
    <mergeCell ref="B4:M4"/>
    <mergeCell ref="F6:K6"/>
    <mergeCell ref="F7:K7"/>
    <mergeCell ref="J9:M9"/>
    <mergeCell ref="J10:M10"/>
    <mergeCell ref="J11:M11"/>
    <mergeCell ref="J12:M12"/>
    <mergeCell ref="J13:M13"/>
    <mergeCell ref="B14:C15"/>
    <mergeCell ref="D14:F14"/>
    <mergeCell ref="H14:I14"/>
    <mergeCell ref="D15:F15"/>
    <mergeCell ref="H15:I15"/>
    <mergeCell ref="H10:I10"/>
    <mergeCell ref="D11:F11"/>
    <mergeCell ref="H11:I11"/>
    <mergeCell ref="B9:C9"/>
    <mergeCell ref="D9:F9"/>
    <mergeCell ref="H9:I9"/>
    <mergeCell ref="B10:C13"/>
    <mergeCell ref="D10:F10"/>
    <mergeCell ref="H13:I13"/>
    <mergeCell ref="D12:D13"/>
    <mergeCell ref="E12:F12"/>
    <mergeCell ref="H12:I12"/>
    <mergeCell ref="E13:F13"/>
  </mergeCells>
  <phoneticPr fontId="15" type="noConversion"/>
  <pageMargins left="0.39370078740157483" right="0.23622047244094491" top="0.39370078740157483" bottom="0.39370078740157483" header="0.31496062992125984" footer="0.31496062992125984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25"/>
  <sheetViews>
    <sheetView view="pageBreakPreview" zoomScaleNormal="100" zoomScaleSheetLayoutView="100" workbookViewId="0">
      <selection activeCell="I20" sqref="I20"/>
    </sheetView>
  </sheetViews>
  <sheetFormatPr defaultRowHeight="16.5"/>
  <cols>
    <col min="1" max="1" width="12.75" style="2" customWidth="1"/>
    <col min="2" max="4" width="26.125" style="17" customWidth="1"/>
    <col min="5" max="5" width="26.125" customWidth="1"/>
  </cols>
  <sheetData>
    <row r="1" spans="1:5">
      <c r="A1" s="307" t="s">
        <v>46</v>
      </c>
      <c r="B1" s="307"/>
      <c r="C1" s="307"/>
      <c r="D1" s="307"/>
      <c r="E1" s="307"/>
    </row>
    <row r="2" spans="1:5" ht="17.25" thickBot="1">
      <c r="A2" s="307"/>
      <c r="B2" s="307"/>
      <c r="C2" s="307"/>
      <c r="D2" s="307"/>
      <c r="E2" s="307"/>
    </row>
    <row r="3" spans="1:5" ht="17.45" customHeight="1">
      <c r="A3" s="341" t="s">
        <v>39</v>
      </c>
      <c r="B3" s="343" t="s">
        <v>59</v>
      </c>
      <c r="C3" s="44" t="s">
        <v>9</v>
      </c>
      <c r="D3" s="95" t="s">
        <v>31</v>
      </c>
      <c r="E3" s="345" t="s">
        <v>1</v>
      </c>
    </row>
    <row r="4" spans="1:5" ht="17.45" customHeight="1">
      <c r="A4" s="342"/>
      <c r="B4" s="344"/>
      <c r="C4" s="19" t="s">
        <v>33</v>
      </c>
      <c r="D4" s="96" t="s">
        <v>36</v>
      </c>
      <c r="E4" s="346"/>
    </row>
    <row r="5" spans="1:5" ht="17.45" customHeight="1">
      <c r="A5" s="93">
        <v>1</v>
      </c>
      <c r="B5" s="94">
        <f>계약서!E42*수익예상분석표!H12*365</f>
        <v>219000</v>
      </c>
      <c r="C5" s="18">
        <f>$B5*수익예상분석표!$H$11</f>
        <v>50370000</v>
      </c>
      <c r="D5" s="18">
        <f>수익예상분석표!$H$14*12</f>
        <v>960000</v>
      </c>
      <c r="E5" s="105">
        <f t="shared" ref="E5:E24" si="0">C5-SUM(D5:D5)</f>
        <v>49410000</v>
      </c>
    </row>
    <row r="6" spans="1:5" ht="17.45" customHeight="1">
      <c r="A6" s="93">
        <v>2</v>
      </c>
      <c r="B6" s="94">
        <f t="shared" ref="B6:B24" si="1">B5*(1-0.004)</f>
        <v>218124</v>
      </c>
      <c r="C6" s="18">
        <f>$B6*수익예상분석표!$H$11</f>
        <v>50168520</v>
      </c>
      <c r="D6" s="18">
        <f>수익예상분석표!$H$14*12</f>
        <v>960000</v>
      </c>
      <c r="E6" s="105">
        <f t="shared" si="0"/>
        <v>49208520</v>
      </c>
    </row>
    <row r="7" spans="1:5" ht="17.45" customHeight="1">
      <c r="A7" s="93">
        <v>3</v>
      </c>
      <c r="B7" s="94">
        <f t="shared" si="1"/>
        <v>217251.50399999999</v>
      </c>
      <c r="C7" s="18">
        <f>$B7*수익예상분석표!$H$11</f>
        <v>49967845.919999994</v>
      </c>
      <c r="D7" s="18">
        <f>수익예상분석표!$H$14*12</f>
        <v>960000</v>
      </c>
      <c r="E7" s="105">
        <f t="shared" si="0"/>
        <v>49007845.919999994</v>
      </c>
    </row>
    <row r="8" spans="1:5" ht="17.45" customHeight="1">
      <c r="A8" s="93">
        <v>4</v>
      </c>
      <c r="B8" s="94">
        <f t="shared" si="1"/>
        <v>216382.49798399999</v>
      </c>
      <c r="C8" s="18">
        <f>$B8*수익예상분석표!$H$11</f>
        <v>49767974.536319993</v>
      </c>
      <c r="D8" s="18">
        <f>수익예상분석표!$H$14*12</f>
        <v>960000</v>
      </c>
      <c r="E8" s="105">
        <f t="shared" si="0"/>
        <v>48807974.536319993</v>
      </c>
    </row>
    <row r="9" spans="1:5" ht="17.45" customHeight="1">
      <c r="A9" s="93">
        <v>5</v>
      </c>
      <c r="B9" s="94">
        <f t="shared" si="1"/>
        <v>215516.96799206399</v>
      </c>
      <c r="C9" s="18">
        <f>$B9*수익예상분석표!$H$11</f>
        <v>49568902.63817472</v>
      </c>
      <c r="D9" s="18">
        <f>수익예상분석표!$H$14*12</f>
        <v>960000</v>
      </c>
      <c r="E9" s="105">
        <f t="shared" si="0"/>
        <v>48608902.63817472</v>
      </c>
    </row>
    <row r="10" spans="1:5" ht="17.45" customHeight="1">
      <c r="A10" s="93">
        <v>6</v>
      </c>
      <c r="B10" s="94">
        <f t="shared" si="1"/>
        <v>214654.90012009573</v>
      </c>
      <c r="C10" s="18">
        <f>$B10*수익예상분석표!$H$11</f>
        <v>49370627.027622014</v>
      </c>
      <c r="D10" s="18">
        <f>수익예상분석표!$H$14*12</f>
        <v>960000</v>
      </c>
      <c r="E10" s="105">
        <f t="shared" si="0"/>
        <v>48410627.027622014</v>
      </c>
    </row>
    <row r="11" spans="1:5" ht="17.45" customHeight="1">
      <c r="A11" s="93">
        <v>7</v>
      </c>
      <c r="B11" s="94">
        <f t="shared" si="1"/>
        <v>213796.28051961533</v>
      </c>
      <c r="C11" s="18">
        <f>$B11*수익예상분석표!$H$11</f>
        <v>49173144.519511528</v>
      </c>
      <c r="D11" s="18">
        <f>수익예상분석표!$H$14*12</f>
        <v>960000</v>
      </c>
      <c r="E11" s="105">
        <f t="shared" si="0"/>
        <v>48213144.519511528</v>
      </c>
    </row>
    <row r="12" spans="1:5" ht="17.45" customHeight="1">
      <c r="A12" s="93">
        <v>8</v>
      </c>
      <c r="B12" s="94">
        <f t="shared" si="1"/>
        <v>212941.09539753688</v>
      </c>
      <c r="C12" s="18">
        <f>$B12*수익예상분석표!$H$11</f>
        <v>48976451.941433482</v>
      </c>
      <c r="D12" s="18">
        <f>수익예상분석표!$H$14*12</f>
        <v>960000</v>
      </c>
      <c r="E12" s="105">
        <f t="shared" si="0"/>
        <v>48016451.941433482</v>
      </c>
    </row>
    <row r="13" spans="1:5" ht="17.45" customHeight="1">
      <c r="A13" s="93">
        <v>9</v>
      </c>
      <c r="B13" s="94">
        <f t="shared" si="1"/>
        <v>212089.33101594672</v>
      </c>
      <c r="C13" s="18">
        <f>$B13*수익예상분석표!$H$11</f>
        <v>48780546.133667745</v>
      </c>
      <c r="D13" s="18">
        <f>수익예상분석표!$H$14*12</f>
        <v>960000</v>
      </c>
      <c r="E13" s="105">
        <f t="shared" si="0"/>
        <v>47820546.133667745</v>
      </c>
    </row>
    <row r="14" spans="1:5" ht="17.45" customHeight="1">
      <c r="A14" s="93">
        <v>10</v>
      </c>
      <c r="B14" s="94">
        <f t="shared" si="1"/>
        <v>211240.97369188294</v>
      </c>
      <c r="C14" s="18">
        <f>$B14*수익예상분석표!$H$11</f>
        <v>48585423.949133076</v>
      </c>
      <c r="D14" s="18">
        <f>수익예상분석표!$H$14*12</f>
        <v>960000</v>
      </c>
      <c r="E14" s="105">
        <f t="shared" si="0"/>
        <v>47625423.949133076</v>
      </c>
    </row>
    <row r="15" spans="1:5" ht="17.45" customHeight="1">
      <c r="A15" s="31">
        <v>11</v>
      </c>
      <c r="B15" s="18">
        <f t="shared" si="1"/>
        <v>210396.0097971154</v>
      </c>
      <c r="C15" s="18">
        <f>$B15*수익예상분석표!$H$11</f>
        <v>48391082.253336541</v>
      </c>
      <c r="D15" s="18">
        <f>수익예상분석표!$H$14*12</f>
        <v>960000</v>
      </c>
      <c r="E15" s="105">
        <f t="shared" si="0"/>
        <v>47431082.253336541</v>
      </c>
    </row>
    <row r="16" spans="1:5" ht="17.45" customHeight="1">
      <c r="A16" s="31">
        <v>12</v>
      </c>
      <c r="B16" s="18">
        <f t="shared" si="1"/>
        <v>209554.42575792695</v>
      </c>
      <c r="C16" s="18">
        <f>$B16*수익예상분석표!$H$11</f>
        <v>48197517.924323201</v>
      </c>
      <c r="D16" s="18">
        <f>수익예상분석표!$H$14*12</f>
        <v>960000</v>
      </c>
      <c r="E16" s="105">
        <f t="shared" si="0"/>
        <v>47237517.924323201</v>
      </c>
    </row>
    <row r="17" spans="1:5" ht="17.45" customHeight="1">
      <c r="A17" s="31">
        <v>13</v>
      </c>
      <c r="B17" s="18">
        <f t="shared" si="1"/>
        <v>208716.20805489525</v>
      </c>
      <c r="C17" s="18">
        <f>$B17*수익예상분석표!$H$11</f>
        <v>48004727.852625906</v>
      </c>
      <c r="D17" s="18">
        <f>수익예상분석표!$H$14*12</f>
        <v>960000</v>
      </c>
      <c r="E17" s="105">
        <f t="shared" si="0"/>
        <v>47044727.852625906</v>
      </c>
    </row>
    <row r="18" spans="1:5" ht="17.45" customHeight="1">
      <c r="A18" s="31">
        <v>14</v>
      </c>
      <c r="B18" s="18">
        <f t="shared" si="1"/>
        <v>207881.34322267567</v>
      </c>
      <c r="C18" s="18">
        <f>$B18*수익예상분석표!$H$11</f>
        <v>47812708.941215403</v>
      </c>
      <c r="D18" s="18">
        <f>수익예상분석표!$H$14*12</f>
        <v>960000</v>
      </c>
      <c r="E18" s="105">
        <f t="shared" si="0"/>
        <v>46852708.941215403</v>
      </c>
    </row>
    <row r="19" spans="1:5" ht="17.45" customHeight="1">
      <c r="A19" s="31">
        <v>15</v>
      </c>
      <c r="B19" s="18">
        <f t="shared" si="1"/>
        <v>207049.81784978497</v>
      </c>
      <c r="C19" s="18">
        <f>$B19*수익예상분석표!$H$11</f>
        <v>47621458.105450541</v>
      </c>
      <c r="D19" s="18">
        <f>수익예상분석표!$H$14*12</f>
        <v>960000</v>
      </c>
      <c r="E19" s="105">
        <f t="shared" si="0"/>
        <v>46661458.105450541</v>
      </c>
    </row>
    <row r="20" spans="1:5" ht="17.45" customHeight="1">
      <c r="A20" s="31">
        <v>16</v>
      </c>
      <c r="B20" s="18">
        <f t="shared" si="1"/>
        <v>206221.61857838582</v>
      </c>
      <c r="C20" s="18">
        <f>$B20*수익예상분석표!$H$11</f>
        <v>47430972.273028739</v>
      </c>
      <c r="D20" s="18">
        <f>수익예상분석표!$H$14*12</f>
        <v>960000</v>
      </c>
      <c r="E20" s="105">
        <f t="shared" si="0"/>
        <v>46470972.273028739</v>
      </c>
    </row>
    <row r="21" spans="1:5" ht="17.45" customHeight="1">
      <c r="A21" s="31">
        <v>17</v>
      </c>
      <c r="B21" s="18">
        <f t="shared" si="1"/>
        <v>205396.73210407229</v>
      </c>
      <c r="C21" s="18">
        <f>$B21*수익예상분석표!$H$11</f>
        <v>47241248.383936629</v>
      </c>
      <c r="D21" s="18">
        <f>수익예상분석표!$H$14*12</f>
        <v>960000</v>
      </c>
      <c r="E21" s="105">
        <f t="shared" si="0"/>
        <v>46281248.383936629</v>
      </c>
    </row>
    <row r="22" spans="1:5" ht="17.45" customHeight="1">
      <c r="A22" s="31">
        <v>18</v>
      </c>
      <c r="B22" s="18">
        <f t="shared" si="1"/>
        <v>204575.14517565601</v>
      </c>
      <c r="C22" s="18">
        <f>$B22*수익예상분석표!$H$11</f>
        <v>47052283.390400887</v>
      </c>
      <c r="D22" s="18">
        <f>수익예상분석표!$H$14*12</f>
        <v>960000</v>
      </c>
      <c r="E22" s="105">
        <f t="shared" si="0"/>
        <v>46092283.390400887</v>
      </c>
    </row>
    <row r="23" spans="1:5" ht="17.45" customHeight="1">
      <c r="A23" s="31">
        <v>19</v>
      </c>
      <c r="B23" s="18">
        <f t="shared" si="1"/>
        <v>203756.84459495338</v>
      </c>
      <c r="C23" s="18">
        <f>$B23*수익예상분석표!$H$11</f>
        <v>46864074.256839275</v>
      </c>
      <c r="D23" s="18">
        <f>수익예상분석표!$H$14*12</f>
        <v>960000</v>
      </c>
      <c r="E23" s="105">
        <f t="shared" si="0"/>
        <v>45904074.256839275</v>
      </c>
    </row>
    <row r="24" spans="1:5" ht="17.45" customHeight="1">
      <c r="A24" s="31">
        <v>20</v>
      </c>
      <c r="B24" s="18">
        <f t="shared" si="1"/>
        <v>202941.81721657357</v>
      </c>
      <c r="C24" s="18">
        <f>$B24*수익예상분석표!$H$11</f>
        <v>46676617.959811918</v>
      </c>
      <c r="D24" s="18">
        <f>수익예상분석표!$H$14*12</f>
        <v>960000</v>
      </c>
      <c r="E24" s="105">
        <f t="shared" si="0"/>
        <v>45716617.959811918</v>
      </c>
    </row>
    <row r="25" spans="1:5" ht="33" customHeight="1" thickBot="1">
      <c r="A25" s="90" t="s">
        <v>42</v>
      </c>
      <c r="B25" s="97">
        <f>SUM(B15:B24,B5:B14)</f>
        <v>4217487.5130731817</v>
      </c>
      <c r="C25" s="97">
        <f>SUM(C15:C24,C5:C14)</f>
        <v>970022128.00683153</v>
      </c>
      <c r="D25" s="97">
        <f>SUM(D15:D24,D5:D14)</f>
        <v>19200000</v>
      </c>
      <c r="E25" s="98">
        <f>SUM(E15:E24,E5:E14)</f>
        <v>950822128.00683153</v>
      </c>
    </row>
  </sheetData>
  <mergeCells count="4">
    <mergeCell ref="A1:E2"/>
    <mergeCell ref="A3:A4"/>
    <mergeCell ref="B3:B4"/>
    <mergeCell ref="E3:E4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계약서</vt:lpstr>
      <vt:lpstr>견적서</vt:lpstr>
      <vt:lpstr>수익예상분석표</vt:lpstr>
      <vt:lpstr>예상수익표</vt:lpstr>
      <vt:lpstr>견적서!Print_Area</vt:lpstr>
      <vt:lpstr>계약서!Print_Area</vt:lpstr>
      <vt:lpstr>수익예상분석표!Print_Area</vt:lpstr>
      <vt:lpstr>예상수익표!Print_Area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그린쏠라</dc:creator>
  <cp:lastModifiedBy>user</cp:lastModifiedBy>
  <cp:revision>14</cp:revision>
  <cp:lastPrinted>2026-04-22T08:05:40Z</cp:lastPrinted>
  <dcterms:created xsi:type="dcterms:W3CDTF">2023-04-05T05:01:36Z</dcterms:created>
  <dcterms:modified xsi:type="dcterms:W3CDTF">2026-04-22T08:11:29Z</dcterms:modified>
</cp:coreProperties>
</file>