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루프탑,리파워링계약서\수정 양식\"/>
    </mc:Choice>
  </mc:AlternateContent>
  <xr:revisionPtr revIDLastSave="0" documentId="13_ncr:1_{859EEBF1-B26A-455C-B337-C6208C9296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계약서" sheetId="2" r:id="rId1"/>
    <sheet name="견적서" sheetId="6" r:id="rId2"/>
    <sheet name="수익예상분석표" sheetId="4" r:id="rId3"/>
    <sheet name="예상수익표" sheetId="5" r:id="rId4"/>
  </sheets>
  <definedNames>
    <definedName name="_xlnm.Print_Area" localSheetId="1">견적서!$A$1:$G$41</definedName>
    <definedName name="_xlnm.Print_Area" localSheetId="0">계약서!$A$1:$L$119</definedName>
    <definedName name="_xlnm.Print_Area" localSheetId="2">수익예상분석표!$A$1:$N$31</definedName>
    <definedName name="_xlnm.Print_Area" localSheetId="3">예상수익표!$A$1:$H$26</definedName>
  </definedNames>
  <calcPr calcId="191029"/>
</workbook>
</file>

<file path=xl/calcChain.xml><?xml version="1.0" encoding="utf-8"?>
<calcChain xmlns="http://schemas.openxmlformats.org/spreadsheetml/2006/main">
  <c r="G72" i="2" l="1"/>
  <c r="D73" i="2"/>
  <c r="D72" i="2"/>
  <c r="K73" i="2"/>
  <c r="E41" i="2"/>
  <c r="E6" i="6"/>
  <c r="B6" i="2" l="1"/>
  <c r="F5" i="4" l="1"/>
  <c r="L56" i="2"/>
  <c r="G24" i="4"/>
  <c r="G25" i="4" s="1"/>
  <c r="D16" i="6"/>
  <c r="D18" i="6" s="1"/>
  <c r="B7" i="6"/>
  <c r="B8" i="6"/>
  <c r="I30" i="6"/>
  <c r="B6" i="6"/>
  <c r="D22" i="6" l="1"/>
  <c r="D27" i="6"/>
  <c r="D25" i="6"/>
  <c r="D26" i="6"/>
  <c r="D17" i="6"/>
  <c r="D20" i="6"/>
  <c r="D28" i="6"/>
  <c r="D23" i="6"/>
  <c r="D24" i="6"/>
  <c r="D21" i="6"/>
  <c r="D29" i="6"/>
  <c r="D19" i="6"/>
  <c r="F28" i="6" l="1"/>
  <c r="D18" i="5" l="1"/>
  <c r="E43" i="2"/>
  <c r="E42" i="2"/>
  <c r="E45" i="2" l="1"/>
  <c r="J14" i="6"/>
  <c r="D5" i="5"/>
  <c r="D7" i="5"/>
  <c r="D8" i="5"/>
  <c r="D9" i="5"/>
  <c r="D10" i="5"/>
  <c r="D11" i="5"/>
  <c r="D12" i="5"/>
  <c r="D13" i="5"/>
  <c r="D14" i="5"/>
  <c r="D16" i="5"/>
  <c r="D17" i="5"/>
  <c r="D19" i="5"/>
  <c r="D20" i="5"/>
  <c r="D21" i="5"/>
  <c r="D22" i="5"/>
  <c r="D23" i="5"/>
  <c r="D24" i="5"/>
  <c r="D25" i="5"/>
  <c r="D6" i="5"/>
  <c r="G21" i="4" l="1"/>
  <c r="D26" i="5"/>
  <c r="E27" i="6"/>
  <c r="F27" i="6" s="1"/>
  <c r="E19" i="6"/>
  <c r="F19" i="6" s="1"/>
  <c r="E20" i="6"/>
  <c r="F20" i="6" s="1"/>
  <c r="E24" i="6"/>
  <c r="F24" i="6" s="1"/>
  <c r="E16" i="6"/>
  <c r="F16" i="6" s="1"/>
  <c r="E23" i="6"/>
  <c r="F23" i="6" s="1"/>
  <c r="E21" i="6"/>
  <c r="F21" i="6" s="1"/>
  <c r="E17" i="6"/>
  <c r="F17" i="6" s="1"/>
  <c r="E29" i="6"/>
  <c r="F29" i="6" s="1"/>
  <c r="E25" i="6"/>
  <c r="F25" i="6" s="1"/>
  <c r="E22" i="6"/>
  <c r="F22" i="6" s="1"/>
  <c r="E18" i="6"/>
  <c r="F18" i="6" s="1"/>
  <c r="E26" i="6"/>
  <c r="F26" i="6" s="1"/>
  <c r="F30" i="6" l="1"/>
  <c r="F7" i="4"/>
  <c r="D28" i="4" s="1"/>
  <c r="P8" i="4"/>
  <c r="S8" i="4" s="1"/>
  <c r="P7" i="4"/>
  <c r="S7" i="4" s="1"/>
  <c r="F14" i="6" l="1"/>
  <c r="B14" i="6"/>
  <c r="B5" i="5"/>
  <c r="E46" i="2"/>
  <c r="H45" i="2"/>
  <c r="H46" i="2" s="1"/>
  <c r="H12" i="4"/>
  <c r="E13" i="5" l="1"/>
  <c r="E6" i="5"/>
  <c r="E14" i="5"/>
  <c r="E10" i="5"/>
  <c r="E11" i="5"/>
  <c r="E7" i="5"/>
  <c r="E5" i="5"/>
  <c r="E9" i="5"/>
  <c r="E8" i="5"/>
  <c r="E12" i="5"/>
  <c r="H53" i="2"/>
  <c r="F8" i="4"/>
  <c r="D20" i="4"/>
  <c r="D21" i="4" s="1"/>
  <c r="D25" i="4" s="1"/>
  <c r="D26" i="4" s="1"/>
  <c r="C5" i="5"/>
  <c r="B6" i="5"/>
  <c r="J7" i="4"/>
  <c r="J8" i="4" s="1"/>
  <c r="E26" i="5" l="1"/>
  <c r="F5" i="5" s="1"/>
  <c r="H5" i="5" s="1"/>
  <c r="G5" i="5"/>
  <c r="J25" i="4"/>
  <c r="B7" i="5"/>
  <c r="C6" i="5"/>
  <c r="G9" i="4"/>
  <c r="F6" i="5" l="1"/>
  <c r="H6" i="5" s="1"/>
  <c r="G6" i="5"/>
  <c r="C7" i="5"/>
  <c r="B8" i="5"/>
  <c r="F7" i="5" l="1"/>
  <c r="G7" i="5"/>
  <c r="C8" i="5"/>
  <c r="B9" i="5"/>
  <c r="G8" i="5" l="1"/>
  <c r="F8" i="5"/>
  <c r="H8" i="5" s="1"/>
  <c r="H7" i="5"/>
  <c r="C9" i="5"/>
  <c r="B10" i="5"/>
  <c r="F9" i="5" l="1"/>
  <c r="G9" i="5"/>
  <c r="C10" i="5"/>
  <c r="B11" i="5"/>
  <c r="J28" i="4"/>
  <c r="F10" i="5" l="1"/>
  <c r="H10" i="5" s="1"/>
  <c r="G10" i="5"/>
  <c r="H9" i="5"/>
  <c r="C11" i="5"/>
  <c r="B12" i="5"/>
  <c r="F11" i="5" l="1"/>
  <c r="H11" i="5" s="1"/>
  <c r="G11" i="5"/>
  <c r="C12" i="5"/>
  <c r="B13" i="5"/>
  <c r="G12" i="5" l="1"/>
  <c r="F12" i="5"/>
  <c r="H12" i="5" s="1"/>
  <c r="C13" i="5"/>
  <c r="B14" i="5"/>
  <c r="F13" i="5" l="1"/>
  <c r="H13" i="5" s="1"/>
  <c r="G13" i="5"/>
  <c r="C14" i="5"/>
  <c r="B16" i="5"/>
  <c r="C16" i="5" s="1"/>
  <c r="H16" i="5" s="1"/>
  <c r="G14" i="5" l="1"/>
  <c r="G26" i="5" s="1"/>
  <c r="F14" i="5"/>
  <c r="F26" i="5" s="1"/>
  <c r="G26" i="4" s="1"/>
  <c r="B17" i="5"/>
  <c r="C17" i="5" s="1"/>
  <c r="H17" i="5" s="1"/>
  <c r="H14" i="5" l="1"/>
  <c r="B18" i="5"/>
  <c r="C18" i="5" s="1"/>
  <c r="H18" i="5" s="1"/>
  <c r="B19" i="5" l="1"/>
  <c r="C19" i="5" s="1"/>
  <c r="H19" i="5" s="1"/>
  <c r="B20" i="5" l="1"/>
  <c r="C20" i="5" s="1"/>
  <c r="H20" i="5" s="1"/>
  <c r="B21" i="5" l="1"/>
  <c r="C21" i="5" s="1"/>
  <c r="H21" i="5" s="1"/>
  <c r="B22" i="5" l="1"/>
  <c r="C22" i="5" s="1"/>
  <c r="H22" i="5" s="1"/>
  <c r="B23" i="5" l="1"/>
  <c r="C23" i="5" s="1"/>
  <c r="H23" i="5" s="1"/>
  <c r="B24" i="5" l="1"/>
  <c r="C24" i="5" s="1"/>
  <c r="H24" i="5" s="1"/>
  <c r="B25" i="5" l="1"/>
  <c r="B26" i="5" l="1"/>
  <c r="C25" i="5"/>
  <c r="H25" i="5" s="1"/>
  <c r="C26" i="5" l="1"/>
  <c r="H26" i="5" l="1"/>
  <c r="D24" i="4"/>
  <c r="J24" i="4" s="1"/>
  <c r="J26" i="4" l="1"/>
  <c r="G20" i="4" l="1"/>
  <c r="J21" i="4"/>
  <c r="J20" i="4" s="1"/>
</calcChain>
</file>

<file path=xl/sharedStrings.xml><?xml version="1.0" encoding="utf-8"?>
<sst xmlns="http://schemas.openxmlformats.org/spreadsheetml/2006/main" count="279" uniqueCount="232">
  <si>
    <t xml:space="preserve">  *중도 상환시  보증보험료는 기간에따라 발주자에게 1/n 반환 된다</t>
  </si>
  <si>
    <t>연순이익(원)</t>
  </si>
  <si>
    <t>전기안전관리자</t>
  </si>
  <si>
    <t>일평균 일조량</t>
  </si>
  <si>
    <t>인터넷회선비</t>
  </si>
  <si>
    <t>구조물 설치공사</t>
  </si>
  <si>
    <t>대출금 (원)</t>
  </si>
  <si>
    <t xml:space="preserve">E-mail   </t>
  </si>
  <si>
    <t>대출기간(년)</t>
  </si>
  <si>
    <t>상환방법</t>
  </si>
  <si>
    <t>공급가액</t>
  </si>
  <si>
    <t>수입(원)</t>
  </si>
  <si>
    <t>전기공사</t>
  </si>
  <si>
    <t>등록번호</t>
  </si>
  <si>
    <t>대표자명</t>
  </si>
  <si>
    <t>공사단가</t>
  </si>
  <si>
    <t>모듈 효율</t>
  </si>
  <si>
    <t>설비용량</t>
  </si>
  <si>
    <t>항목</t>
  </si>
  <si>
    <t>설비효율</t>
  </si>
  <si>
    <t>% / 년</t>
  </si>
  <si>
    <t>h / 일</t>
  </si>
  <si>
    <t>자기자본</t>
  </si>
  <si>
    <t>시설용량</t>
  </si>
  <si>
    <t>자기부담금</t>
  </si>
  <si>
    <t>설계용량</t>
  </si>
  <si>
    <t>금융조건</t>
  </si>
  <si>
    <t>20년기준</t>
  </si>
  <si>
    <t>수익</t>
  </si>
  <si>
    <t>태양광모듈</t>
  </si>
  <si>
    <t>보증보험</t>
  </si>
  <si>
    <t>비율</t>
  </si>
  <si>
    <t>계약조건</t>
  </si>
  <si>
    <t>전화번호</t>
  </si>
  <si>
    <t>비고</t>
  </si>
  <si>
    <t>고정형</t>
  </si>
  <si>
    <t>단가</t>
  </si>
  <si>
    <t>운영비</t>
  </si>
  <si>
    <t>지출(원)</t>
  </si>
  <si>
    <t>수량</t>
  </si>
  <si>
    <t>매출액</t>
  </si>
  <si>
    <t>단위</t>
  </si>
  <si>
    <t>산출내역</t>
  </si>
  <si>
    <t>유지보수</t>
  </si>
  <si>
    <t>원 / 월</t>
  </si>
  <si>
    <t>품명</t>
  </si>
  <si>
    <t>년차</t>
  </si>
  <si>
    <t>내용</t>
  </si>
  <si>
    <t>번호</t>
  </si>
  <si>
    <t>합계</t>
  </si>
  <si>
    <t>구분</t>
  </si>
  <si>
    <t>인버터</t>
  </si>
  <si>
    <t>일반관리비 및 경비</t>
  </si>
  <si>
    <t>태양광 발전 예상수익표</t>
  </si>
  <si>
    <t>합계(VAT 별도)</t>
  </si>
  <si>
    <t>보증보험료/마더 수수료</t>
  </si>
  <si>
    <t>SMP(한전)+REC(전력거래소)</t>
  </si>
  <si>
    <t>원</t>
  </si>
  <si>
    <t>(인)</t>
    <phoneticPr fontId="15" type="noConversion"/>
  </si>
  <si>
    <t>무자본선시공태양광 계약서(무담보,무설정)</t>
    <phoneticPr fontId="15" type="noConversion"/>
  </si>
  <si>
    <t>kW</t>
    <phoneticPr fontId="15" type="noConversion"/>
  </si>
  <si>
    <t>공사비(금융대출) :</t>
    <phoneticPr fontId="15" type="noConversion"/>
  </si>
  <si>
    <t>건물 지붕형 태양광 발전소</t>
    <phoneticPr fontId="15" type="noConversion"/>
  </si>
  <si>
    <t>설치용량</t>
    <phoneticPr fontId="15" type="noConversion"/>
  </si>
  <si>
    <t>준공일</t>
    <phoneticPr fontId="15" type="noConversion"/>
  </si>
  <si>
    <t>정책자금</t>
    <phoneticPr fontId="15" type="noConversion"/>
  </si>
  <si>
    <t>공사지급보증증권발행</t>
    <phoneticPr fontId="15" type="noConversion"/>
  </si>
  <si>
    <t>사양</t>
    <phoneticPr fontId="15" type="noConversion"/>
  </si>
  <si>
    <t>특약</t>
    <phoneticPr fontId="15" type="noConversion"/>
  </si>
  <si>
    <t>공사명</t>
    <phoneticPr fontId="15" type="noConversion"/>
  </si>
  <si>
    <t>전력생산량(kWh)</t>
    <phoneticPr fontId="15" type="noConversion"/>
  </si>
  <si>
    <t>공사금액:</t>
    <phoneticPr fontId="15" type="noConversion"/>
  </si>
  <si>
    <t>견 적 일</t>
    <phoneticPr fontId="15" type="noConversion"/>
  </si>
  <si>
    <t>수 신 처</t>
    <phoneticPr fontId="15" type="noConversion"/>
  </si>
  <si>
    <t>상      호</t>
    <phoneticPr fontId="15" type="noConversion"/>
  </si>
  <si>
    <t>주      소</t>
    <phoneticPr fontId="15" type="noConversion"/>
  </si>
  <si>
    <t>태양광 발전소 견적서</t>
    <phoneticPr fontId="15" type="noConversion"/>
  </si>
  <si>
    <t>아래와 같이 견적합니다.</t>
    <phoneticPr fontId="15" type="noConversion"/>
  </si>
  <si>
    <t>부가세(조기)환급 :</t>
    <phoneticPr fontId="15" type="noConversion"/>
  </si>
  <si>
    <t>사업자 환급 후 납부</t>
    <phoneticPr fontId="15" type="noConversion"/>
  </si>
  <si>
    <t>대   금   결   제</t>
    <phoneticPr fontId="15" type="noConversion"/>
  </si>
  <si>
    <t>설계 및 구조 계산</t>
    <phoneticPr fontId="15" type="noConversion"/>
  </si>
  <si>
    <t>구조물제작</t>
    <phoneticPr fontId="15" type="noConversion"/>
  </si>
  <si>
    <t>산재및하자보증</t>
    <phoneticPr fontId="15" type="noConversion"/>
  </si>
  <si>
    <t>감리및인허가 비용</t>
    <phoneticPr fontId="15" type="noConversion"/>
  </si>
  <si>
    <r>
      <t xml:space="preserve">첨부 : 1. 태양광 발전소 공사계약조건 1부. </t>
    </r>
    <r>
      <rPr>
        <sz val="11"/>
        <color rgb="FF000000"/>
        <rFont val="맑은 고딕"/>
        <family val="3"/>
        <charset val="129"/>
      </rPr>
      <t>위임장1부,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사용인감계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3부</t>
    </r>
    <phoneticPr fontId="15" type="noConversion"/>
  </si>
  <si>
    <t>제2조[용어정의]</t>
  </si>
  <si>
    <t>제3조</t>
  </si>
  <si>
    <t>제5조</t>
  </si>
  <si>
    <t>제6조</t>
  </si>
  <si>
    <t>제7조</t>
  </si>
  <si>
    <t>제8조</t>
  </si>
  <si>
    <t>제9조</t>
  </si>
  <si>
    <t>제10조</t>
  </si>
  <si>
    <t xml:space="preserve">제11조 </t>
  </si>
  <si>
    <t>제1조[ 계약목적]</t>
  </si>
  <si>
    <t>이 조건에서 사용하는 용어의 정의는 다음과 같다.</t>
    <phoneticPr fontId="15" type="noConversion"/>
  </si>
  <si>
    <t>마진</t>
    <phoneticPr fontId="15" type="noConversion"/>
  </si>
  <si>
    <r>
      <t>k</t>
    </r>
    <r>
      <rPr>
        <sz val="11"/>
        <color rgb="FF000000"/>
        <rFont val="맑은 고딕"/>
        <family val="3"/>
        <charset val="129"/>
      </rPr>
      <t>W</t>
    </r>
    <phoneticPr fontId="15" type="noConversion"/>
  </si>
  <si>
    <t>kW</t>
  </si>
  <si>
    <t xml:space="preserve"> 1800-5249</t>
    <phoneticPr fontId="15" type="noConversion"/>
  </si>
  <si>
    <t>설치주소</t>
    <phoneticPr fontId="15" type="noConversion"/>
  </si>
  <si>
    <t>설  치  주  소</t>
    <phoneticPr fontId="15" type="noConversion"/>
  </si>
  <si>
    <t>상           호</t>
    <phoneticPr fontId="15" type="noConversion"/>
  </si>
  <si>
    <t>대    표    님</t>
    <phoneticPr fontId="15" type="noConversion"/>
  </si>
  <si>
    <t>연    락    처</t>
    <phoneticPr fontId="15" type="noConversion"/>
  </si>
  <si>
    <t>비          고</t>
    <phoneticPr fontId="15" type="noConversion"/>
  </si>
  <si>
    <t xml:space="preserve"> 준공 후 서울보증증권팩토링(사용전검사이후)5~6%금리</t>
    <phoneticPr fontId="15" type="noConversion"/>
  </si>
  <si>
    <t xml:space="preserve"> 전기안전공사 사용전 검사필증 발급일자 기준</t>
    <phoneticPr fontId="15" type="noConversion"/>
  </si>
  <si>
    <t xml:space="preserve"> (에너지공단 자금추천서) 연리 2.9% (5년거치 10년상환)</t>
    <phoneticPr fontId="15" type="noConversion"/>
  </si>
  <si>
    <t xml:space="preserve"> 신청 후 공단 승인이 나지 않을 수도 있음을 고지함.</t>
    <phoneticPr fontId="15" type="noConversion"/>
  </si>
  <si>
    <t>견적금액 (부가세 별도)</t>
    <phoneticPr fontId="15" type="noConversion"/>
  </si>
  <si>
    <t>VAT별도</t>
    <phoneticPr fontId="15" type="noConversion"/>
  </si>
  <si>
    <t>무담보 선시공</t>
    <phoneticPr fontId="15" type="noConversion"/>
  </si>
  <si>
    <t>자기자본</t>
    <phoneticPr fontId="15" type="noConversion"/>
  </si>
  <si>
    <t>총공사비</t>
    <phoneticPr fontId="15" type="noConversion"/>
  </si>
  <si>
    <t>kW/원</t>
    <phoneticPr fontId="15" type="noConversion"/>
  </si>
  <si>
    <t>구     분</t>
    <phoneticPr fontId="15" type="noConversion"/>
  </si>
  <si>
    <t>구조물</t>
    <phoneticPr fontId="15" type="noConversion"/>
  </si>
  <si>
    <t>한전선로연계비</t>
    <phoneticPr fontId="15" type="noConversion"/>
  </si>
  <si>
    <t>분전함/수,배전반</t>
    <phoneticPr fontId="15" type="noConversion"/>
  </si>
  <si>
    <t xml:space="preserve">공사단가                      </t>
    <phoneticPr fontId="15" type="noConversion"/>
  </si>
  <si>
    <t>모듈</t>
    <phoneticPr fontId="15" type="noConversion"/>
  </si>
  <si>
    <t>포스맥/알루미늄</t>
    <phoneticPr fontId="15" type="noConversion"/>
  </si>
  <si>
    <t xml:space="preserve">공사단가 </t>
    <phoneticPr fontId="15" type="noConversion"/>
  </si>
  <si>
    <t>사업분석 예상수익보고서</t>
    <phoneticPr fontId="15" type="noConversion"/>
  </si>
  <si>
    <t>한화/현대/효성 설계 후 선택</t>
    <phoneticPr fontId="15" type="noConversion"/>
  </si>
  <si>
    <t>안전사다리/발판</t>
    <phoneticPr fontId="15" type="noConversion"/>
  </si>
  <si>
    <t>현금/팩토링</t>
    <phoneticPr fontId="15" type="noConversion"/>
  </si>
  <si>
    <t xml:space="preserve"> 계약일로 10개월 내 허가득/허가일로 6개월이내</t>
    <phoneticPr fontId="15" type="noConversion"/>
  </si>
  <si>
    <t>사업/설치기간</t>
    <phoneticPr fontId="15" type="noConversion"/>
  </si>
  <si>
    <t>값</t>
  </si>
  <si>
    <t>90 이상</t>
  </si>
  <si>
    <t>50~89</t>
  </si>
  <si>
    <t>30~49</t>
  </si>
  <si>
    <t>반환값</t>
    <phoneticPr fontId="15" type="noConversion"/>
  </si>
  <si>
    <t>kW당, VAT별도</t>
    <phoneticPr fontId="15" type="noConversion"/>
  </si>
  <si>
    <t>원금균등분할상환</t>
    <phoneticPr fontId="15" type="noConversion"/>
  </si>
  <si>
    <t>대출기간</t>
    <phoneticPr fontId="15" type="noConversion"/>
  </si>
  <si>
    <t>30 미만</t>
    <phoneticPr fontId="15" type="noConversion"/>
  </si>
  <si>
    <t>10년</t>
    <phoneticPr fontId="15" type="noConversion"/>
  </si>
  <si>
    <t>에이치에너지솔루션 주식회사</t>
    <phoneticPr fontId="15" type="noConversion"/>
  </si>
  <si>
    <t xml:space="preserve">"갑"은 본 공사와 관련된 서류 및 모든 대관업무에 협조해야한다. </t>
    <phoneticPr fontId="15" type="noConversion"/>
  </si>
  <si>
    <t>제4조</t>
    <phoneticPr fontId="15" type="noConversion"/>
  </si>
  <si>
    <t>개발행위허가의 지연시 계약기간은 연장된다.</t>
    <phoneticPr fontId="15" type="noConversion"/>
  </si>
  <si>
    <r>
      <t xml:space="preserve">발전사업 인. 허가 및 개발행위 취득 후 </t>
    </r>
    <r>
      <rPr>
        <sz val="11"/>
        <color rgb="FFFF0000"/>
        <rFont val="맑은 고딕"/>
        <family val="3"/>
        <charset val="129"/>
      </rPr>
      <t>한전선로연계비는 "갑"이 부담</t>
    </r>
    <r>
      <rPr>
        <sz val="11"/>
        <rFont val="맑은 고딕"/>
        <family val="3"/>
        <charset val="129"/>
      </rPr>
      <t>한다</t>
    </r>
    <phoneticPr fontId="15" type="noConversion"/>
  </si>
  <si>
    <t>"을"은 "갑"에게서 받은 서류(인감증명포함) 일체를 발전사업의 목적이외로 사용할 수 없다.</t>
    <phoneticPr fontId="15" type="noConversion"/>
  </si>
  <si>
    <t>2) “설치기간”이라 함은 위 계약의 체결 일로부터 “사업내역서”에 따라 본 사업의 설치가 완료되고 “갑” 의 완료 검사를 득한 날 까지를 말한다.</t>
  </si>
  <si>
    <t>4) “사업금액”이라 함은 본 사업에 소요되는 총 공사금액에 소요되는 비용을 말한다.</t>
  </si>
  <si>
    <t>5) “한전선로연계비”라 함은 본 사업을 위한 사업비용으로 "한전"에 납부하는 기본 경비를 말한다.</t>
    <phoneticPr fontId="15" type="noConversion"/>
  </si>
  <si>
    <t>*10년 이후 수익구조(예시)</t>
    <phoneticPr fontId="15" type="noConversion"/>
  </si>
  <si>
    <t xml:space="preserve">※ 지정계좌(국민) : 038701-04-596211 	</t>
    <phoneticPr fontId="15" type="noConversion"/>
  </si>
  <si>
    <t>금융시행사 : 에이치에너지솔루션㈜</t>
    <phoneticPr fontId="15" type="noConversion"/>
  </si>
  <si>
    <t>류 복 남</t>
    <phoneticPr fontId="15" type="noConversion"/>
  </si>
  <si>
    <t xml:space="preserve"> 에이치에너지솔루션㈜</t>
    <phoneticPr fontId="15" type="noConversion"/>
  </si>
  <si>
    <t>금리(5%)</t>
    <phoneticPr fontId="15" type="noConversion"/>
  </si>
  <si>
    <t>한화/현대 OEM (양면)</t>
    <phoneticPr fontId="15" type="noConversion"/>
  </si>
  <si>
    <t>규격(WP)</t>
    <phoneticPr fontId="15" type="noConversion"/>
  </si>
  <si>
    <t>설치장수</t>
    <phoneticPr fontId="15" type="noConversion"/>
  </si>
  <si>
    <t>발주자 (이하"갑“이라 함)와 수급자(이하 ”을“ "병"이라 함)는 상호 대등한 입장에서 위의 계약을 체결하고
신의에 따라 성실히 계약상의 내용을 숙지하였으며 이에 의무를 이행할 것을 확약한다.</t>
    <phoneticPr fontId="15" type="noConversion"/>
  </si>
  <si>
    <t>서울시 중랑구 면목로44길 28, 아람플러스 3층 전관</t>
    <phoneticPr fontId="15" type="noConversion"/>
  </si>
  <si>
    <t>본 계약 일반 조건은 위 계약서의 “갑”과 “을"이 태양광 설치 사업을 시행함에 있어 규정에 의한 계약문서에서 정하는 바에 따른 권리와 의무를 명확하게 정함을 그 목적으로 한다.</t>
    <phoneticPr fontId="15" type="noConversion"/>
  </si>
  <si>
    <r>
      <t xml:space="preserve">발전사업 허가및개발행위 후 공사비 금융을 위한  </t>
    </r>
    <r>
      <rPr>
        <sz val="11"/>
        <color rgb="FFFF0000"/>
        <rFont val="맑은 고딕"/>
        <family val="3"/>
        <charset val="129"/>
      </rPr>
      <t>보증보험료, 마더사 수수료는 "을"이 부담</t>
    </r>
    <r>
      <rPr>
        <sz val="11"/>
        <rFont val="맑은 고딕"/>
        <family val="3"/>
        <charset val="129"/>
      </rPr>
      <t>한다</t>
    </r>
    <phoneticPr fontId="15" type="noConversion"/>
  </si>
  <si>
    <t>주소</t>
    <phoneticPr fontId="15" type="noConversion"/>
  </si>
  <si>
    <t>연락처</t>
    <phoneticPr fontId="15" type="noConversion"/>
  </si>
  <si>
    <t>구조안전진단결과에 따라 발전사업을 위한 목적의 건물 보강비용 발생시 "갑"이 부담한다.</t>
    <phoneticPr fontId="15" type="noConversion"/>
  </si>
  <si>
    <t>태양광설치 공사 중 불가향력적인 이유로 부득이하게 공사를 중단할 경우 소요된 비용에 대해서는 상호 협의하여 정산한다.</t>
    <phoneticPr fontId="15" type="noConversion"/>
  </si>
  <si>
    <t>진행비(계약금)</t>
    <phoneticPr fontId="15" type="noConversion"/>
  </si>
  <si>
    <t>3) 계약금(진행비)이라 함은 "을"이 본 사업을 진행함에 있어 소요되는  필요한 별도의 제반 비용으로서 허가 준비 및 영업 활동의 경비를 말한다.</t>
    <phoneticPr fontId="15" type="noConversion"/>
  </si>
  <si>
    <t>"을"은 "갑"의  본 태양광사업진행을 위하여 인.허가 및 대관업무, 금융업무를 담당하며 시공후 에너지 관리공단 REC발급 까지 책임진다.</t>
    <phoneticPr fontId="15" type="noConversion"/>
  </si>
  <si>
    <r>
      <t xml:space="preserve">"갑"의 귀책사유가 없으며 "을"이 발전 허가를 받지 못하여 공사 진행이 안된다고 판단될 시, </t>
    </r>
    <r>
      <rPr>
        <sz val="11"/>
        <color rgb="FFFF0000"/>
        <rFont val="맑은 고딕"/>
        <family val="3"/>
        <charset val="129"/>
      </rPr>
      <t>계약금(진행비)은  "갑"에게 반환</t>
    </r>
    <r>
      <rPr>
        <sz val="11"/>
        <rFont val="맑은 고딕"/>
        <family val="3"/>
        <charset val="129"/>
      </rPr>
      <t>하며 위약금이나</t>
    </r>
    <r>
      <rPr>
        <sz val="11"/>
        <color rgb="FFFF0000"/>
        <rFont val="맑은 고딕"/>
        <family val="3"/>
        <charset val="129"/>
      </rPr>
      <t xml:space="preserve"> 별도의 비용을 "갑"에게 청구할 수 없다</t>
    </r>
    <r>
      <rPr>
        <sz val="11"/>
        <rFont val="맑은 고딕"/>
        <family val="3"/>
        <charset val="129"/>
      </rPr>
      <t>.</t>
    </r>
    <phoneticPr fontId="15" type="noConversion"/>
  </si>
  <si>
    <t>1800-5249</t>
    <phoneticPr fontId="15" type="noConversion"/>
  </si>
  <si>
    <t>*본 수익보고서는 발전상황과 SMP/REC 가격 변동에 따라 변할수있음</t>
    <phoneticPr fontId="15" type="noConversion"/>
  </si>
  <si>
    <t xml:space="preserve">20년 최고 감가률 8% </t>
    <phoneticPr fontId="15" type="noConversion"/>
  </si>
  <si>
    <t>8만원</t>
    <phoneticPr fontId="15" type="noConversion"/>
  </si>
  <si>
    <t xml:space="preserve">모니터링 </t>
    <phoneticPr fontId="15" type="noConversion"/>
  </si>
  <si>
    <t>*10년 분할상환시(예시)</t>
    <phoneticPr fontId="15" type="noConversion"/>
  </si>
  <si>
    <t>10년 /  년기준</t>
    <phoneticPr fontId="15" type="noConversion"/>
  </si>
  <si>
    <t>10년 /  월기준</t>
    <phoneticPr fontId="15" type="noConversion"/>
  </si>
  <si>
    <t>10년후 /  월기준</t>
    <phoneticPr fontId="15" type="noConversion"/>
  </si>
  <si>
    <t>10년후 /  년기준</t>
    <phoneticPr fontId="15" type="noConversion"/>
  </si>
  <si>
    <t>help@hes.co.kr</t>
    <phoneticPr fontId="15" type="noConversion"/>
  </si>
  <si>
    <t>해가 드림(꿈)이 될수 있게 에이치에너지와 해드림에너지가 함께 합니다</t>
    <phoneticPr fontId="15" type="noConversion"/>
  </si>
  <si>
    <r>
      <t xml:space="preserve">"갑"의 변심으로 인한 계약파기시 갑은 </t>
    </r>
    <r>
      <rPr>
        <sz val="11"/>
        <color rgb="FFFF0000"/>
        <rFont val="맑은 고딕"/>
        <family val="3"/>
        <charset val="129"/>
      </rPr>
      <t>계약금(진행비)은 전액 포기</t>
    </r>
    <r>
      <rPr>
        <sz val="11"/>
        <rFont val="맑은 고딕"/>
        <family val="3"/>
        <charset val="129"/>
      </rPr>
      <t>하며  발전허가취득후 계약파기시는 계약금액의5% 개발행위완료후 계약파기시  계약금액의10% 의 위약금을 "을"에게 지불한다.</t>
    </r>
    <phoneticPr fontId="15" type="noConversion"/>
  </si>
  <si>
    <t xml:space="preserve">  책임시공사 :해드림에너지㈜</t>
    <phoneticPr fontId="15" type="noConversion"/>
  </si>
  <si>
    <t>* 특이 사항
 -부가세 별도 / 한전 설로비 별도
 -안전 사다리,발판포함/모니터링 포함  추가금액없음</t>
    <phoneticPr fontId="15" type="noConversion"/>
  </si>
  <si>
    <t>2026년도 상반기  현재기준 금액</t>
    <phoneticPr fontId="15" type="noConversion"/>
  </si>
  <si>
    <t>시공 :해드림에너지㈜</t>
    <phoneticPr fontId="15" type="noConversion"/>
  </si>
  <si>
    <t>시행:  에이치에너지솔루션㈜</t>
    <phoneticPr fontId="15" type="noConversion"/>
  </si>
  <si>
    <t>1) “사업기간”이라 함은 위 계약의 체결 일로부터 “갑” “을” "병"이 본 계약서에 명기한 기간을 말한다.</t>
    <phoneticPr fontId="15" type="noConversion"/>
  </si>
  <si>
    <t>"을"은 본 태양광공사계약에 있어  안전을 우선하여  책임시공을 하여야 한다. ( "을"의 지정된 책임시공사"병"을 통해 책임시공원칙으로 한다)</t>
    <phoneticPr fontId="15" type="noConversion"/>
  </si>
  <si>
    <t>에이치에너지솔루션(주)</t>
    <phoneticPr fontId="15" type="noConversion"/>
  </si>
  <si>
    <t>해드림에너지(주)</t>
    <phoneticPr fontId="15" type="noConversion"/>
  </si>
  <si>
    <t xml:space="preserve">2026년     월     일 </t>
    <phoneticPr fontId="15" type="noConversion"/>
  </si>
  <si>
    <r>
      <t xml:space="preserve">인.허가 취득후 실제 공사내용이 본 계약서와 변동이 있을 경우 </t>
    </r>
    <r>
      <rPr>
        <sz val="11"/>
        <color rgb="FFFF0000"/>
        <rFont val="맑은 고딕"/>
        <family val="3"/>
        <charset val="129"/>
      </rPr>
      <t>무자본 태양광 공사에 한해 서울보증보험에서 정한 계약서</t>
    </r>
    <r>
      <rPr>
        <sz val="11"/>
        <color rgb="FF000000"/>
        <rFont val="맑은 고딕"/>
        <family val="3"/>
        <charset val="129"/>
      </rPr>
      <t>를 재작성 한다.</t>
    </r>
    <phoneticPr fontId="15" type="noConversion"/>
  </si>
  <si>
    <t>태양광 발전소 선시공계약서</t>
    <phoneticPr fontId="15" type="noConversion"/>
  </si>
  <si>
    <t>공사금액 30%</t>
    <phoneticPr fontId="15" type="noConversion"/>
  </si>
  <si>
    <t>대출상환(원)</t>
  </si>
  <si>
    <t>원금상환</t>
  </si>
  <si>
    <t>이자</t>
  </si>
  <si>
    <t>상환후잔액</t>
  </si>
  <si>
    <t>상환후 수익금액</t>
    <phoneticPr fontId="15" type="noConversion"/>
  </si>
  <si>
    <t>지출(원금+이자+안전관리자)</t>
    <phoneticPr fontId="15" type="noConversion"/>
  </si>
  <si>
    <t>컨텍코리아</t>
    <phoneticPr fontId="15" type="noConversion"/>
  </si>
  <si>
    <t xml:space="preserve">계약번호: hes-260300-44호 </t>
    <phoneticPr fontId="15" type="noConversion"/>
  </si>
  <si>
    <t>화성시 석교남길 55</t>
    <phoneticPr fontId="15" type="noConversion"/>
  </si>
  <si>
    <t>김경화</t>
    <phoneticPr fontId="15" type="noConversion"/>
  </si>
  <si>
    <t>010-2110-7670</t>
    <phoneticPr fontId="15" type="noConversion"/>
  </si>
  <si>
    <t xml:space="preserve">※지정계좌 : </t>
    <phoneticPr fontId="15" type="noConversion"/>
  </si>
  <si>
    <t xml:space="preserve">038701-04-596211 (국민) </t>
  </si>
  <si>
    <t>317-0012-1029-61(농협)</t>
    <phoneticPr fontId="15" type="noConversion"/>
  </si>
  <si>
    <t>하자보증금율 및 기간</t>
    <phoneticPr fontId="15" type="noConversion"/>
  </si>
  <si>
    <t>준공 승인일로부터 3년 이내(구조물 및 전기공사) / 하자보증금율(공사대금5%)</t>
    <phoneticPr fontId="15" type="noConversion"/>
  </si>
  <si>
    <t>지체보상금율 및 지연이자율</t>
    <phoneticPr fontId="15" type="noConversion"/>
  </si>
  <si>
    <t>연 10% / 지체보상금율 1/1,000(일)</t>
    <phoneticPr fontId="15" type="noConversion"/>
  </si>
  <si>
    <t>발주자
(갑)</t>
    <phoneticPr fontId="15" type="noConversion"/>
  </si>
  <si>
    <t>상호</t>
    <phoneticPr fontId="15" type="noConversion"/>
  </si>
  <si>
    <t>주민
(사업자)번호</t>
    <phoneticPr fontId="15" type="noConversion"/>
  </si>
  <si>
    <t>성명</t>
    <phoneticPr fontId="15" type="noConversion"/>
  </si>
  <si>
    <t>공동수급자</t>
    <phoneticPr fontId="15" type="noConversion"/>
  </si>
  <si>
    <t>(을)</t>
    <phoneticPr fontId="15" type="noConversion"/>
  </si>
  <si>
    <t>사업자번호</t>
    <phoneticPr fontId="15" type="noConversion"/>
  </si>
  <si>
    <t>466-86-03725</t>
    <phoneticPr fontId="15" type="noConversion"/>
  </si>
  <si>
    <t>서울시 중랑구 면목로 44길 28, 3층</t>
    <phoneticPr fontId="15" type="noConversion"/>
  </si>
  <si>
    <t>대표자명</t>
    <phoneticPr fontId="15" type="noConversion"/>
  </si>
  <si>
    <t>류복남        (인)</t>
    <phoneticPr fontId="15" type="noConversion"/>
  </si>
  <si>
    <t>(병)</t>
    <phoneticPr fontId="15" type="noConversion"/>
  </si>
  <si>
    <t>1877-4007</t>
    <phoneticPr fontId="15" type="noConversion"/>
  </si>
  <si>
    <t>대전광역시 서구 둔산중로 38, 705호(둔산동)</t>
    <phoneticPr fontId="15" type="noConversion"/>
  </si>
  <si>
    <t>박성언        (인)</t>
    <phoneticPr fontId="15" type="noConversion"/>
  </si>
  <si>
    <t>설치용량(kw)</t>
    <phoneticPr fontId="15" type="noConversion"/>
  </si>
  <si>
    <t>공사단가(원)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</si>
</sst>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176" formatCode="#,##0_ "/>
    <numFmt numFmtId="177" formatCode="#,##0_);[Red]\(#,##0\)"/>
    <numFmt numFmtId="178" formatCode="#,##0.00_ "/>
    <numFmt numFmtId="179" formatCode="0.00_ "/>
    <numFmt numFmtId="180" formatCode="#,##0.0_);[Red]\(#,##0.0\)"/>
    <numFmt numFmtId="181" formatCode="000\-000"/>
    <numFmt numFmtId="182" formatCode="0.00\k\W"/>
    <numFmt numFmtId="183" formatCode="#,##0&quot;원&quot;"/>
    <numFmt numFmtId="184" formatCode="#,##0.00\k\W"/>
    <numFmt numFmtId="185" formatCode="0&quot;년&quot;"/>
    <numFmt numFmtId="186" formatCode="0.0%"/>
    <numFmt numFmtId="187" formatCode="#,##0&quot;만원&quot;"/>
    <numFmt numFmtId="188" formatCode="#,##0&quot;WP&quot;"/>
  </numFmts>
  <fonts count="35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26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color rgb="FF203864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15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1"/>
      <color rgb="FF699B37"/>
      <name val="맑은 고딕"/>
      <family val="3"/>
      <charset val="129"/>
    </font>
    <font>
      <sz val="8"/>
      <name val="돋움"/>
      <family val="3"/>
      <charset val="129"/>
    </font>
    <font>
      <sz val="14"/>
      <color rgb="FF000000"/>
      <name val="맑은 고딕"/>
      <family val="3"/>
      <charset val="129"/>
    </font>
    <font>
      <b/>
      <sz val="30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4"/>
      <color rgb="FF1F1F1F"/>
      <name val="Arial"/>
      <family val="2"/>
    </font>
    <font>
      <b/>
      <sz val="14"/>
      <color rgb="FF1F1F1F"/>
      <name val="맑은 고딕"/>
      <family val="2"/>
      <charset val="129"/>
    </font>
    <font>
      <sz val="8"/>
      <color rgb="FFFF000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theme="0" tint="-0.249977111117893"/>
      <name val="맑은 고딕"/>
      <family val="3"/>
      <charset val="129"/>
    </font>
    <font>
      <sz val="10"/>
      <color theme="0" tint="-0.249977111117893"/>
      <name val="맑은 고딕"/>
      <family val="3"/>
      <charset val="129"/>
    </font>
    <font>
      <sz val="11"/>
      <color theme="8"/>
      <name val="맑은 고딕"/>
      <family val="3"/>
      <charset val="129"/>
    </font>
    <font>
      <sz val="11"/>
      <color rgb="FF0070C0"/>
      <name val="맑은 고딕"/>
      <family val="3"/>
      <charset val="129"/>
    </font>
    <font>
      <sz val="9"/>
      <color rgb="FF000000"/>
      <name val="Malgun Gothic"/>
      <family val="3"/>
      <charset val="129"/>
    </font>
    <font>
      <sz val="16"/>
      <color rgb="FF000000"/>
      <name val="맑은 고딕"/>
      <family val="3"/>
      <charset val="129"/>
    </font>
    <font>
      <u/>
      <sz val="10"/>
      <color rgb="FF0000FF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b/>
      <sz val="10"/>
      <color rgb="FF000000"/>
      <name val="맑은 고딕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3333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176" fontId="4" fillId="0" borderId="13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0" fontId="0" fillId="0" borderId="13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>
      <alignment vertical="center"/>
    </xf>
    <xf numFmtId="0" fontId="14" fillId="0" borderId="31" xfId="0" applyFont="1" applyBorder="1">
      <alignment vertical="center"/>
    </xf>
    <xf numFmtId="0" fontId="14" fillId="0" borderId="0" xfId="0" applyFont="1">
      <alignment vertical="center"/>
    </xf>
    <xf numFmtId="176" fontId="4" fillId="4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0" borderId="16" xfId="0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83" fontId="21" fillId="2" borderId="2" xfId="0" applyNumberFormat="1" applyFont="1" applyFill="1" applyBorder="1">
      <alignment vertical="center"/>
    </xf>
    <xf numFmtId="0" fontId="22" fillId="0" borderId="2" xfId="0" applyFont="1" applyBorder="1">
      <alignment vertical="center"/>
    </xf>
    <xf numFmtId="0" fontId="3" fillId="0" borderId="0" xfId="0" applyFont="1">
      <alignment vertical="center"/>
    </xf>
    <xf numFmtId="2" fontId="3" fillId="0" borderId="0" xfId="0" applyNumberFormat="1" applyFont="1">
      <alignment vertical="center"/>
    </xf>
    <xf numFmtId="0" fontId="10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distributed" wrapText="1"/>
    </xf>
    <xf numFmtId="0" fontId="24" fillId="0" borderId="1" xfId="0" applyFont="1" applyBorder="1" applyAlignment="1">
      <alignment horizontal="center" vertical="distributed" wrapText="1"/>
    </xf>
    <xf numFmtId="183" fontId="24" fillId="0" borderId="2" xfId="0" applyNumberFormat="1" applyFont="1" applyBorder="1">
      <alignment vertical="center"/>
    </xf>
    <xf numFmtId="183" fontId="25" fillId="0" borderId="2" xfId="0" applyNumberFormat="1" applyFont="1" applyBorder="1">
      <alignment vertical="center"/>
    </xf>
    <xf numFmtId="0" fontId="25" fillId="0" borderId="0" xfId="0" applyFont="1">
      <alignment vertical="center"/>
    </xf>
    <xf numFmtId="184" fontId="0" fillId="0" borderId="36" xfId="0" applyNumberFormat="1" applyBorder="1">
      <alignment vertical="center"/>
    </xf>
    <xf numFmtId="184" fontId="0" fillId="0" borderId="29" xfId="0" applyNumberFormat="1" applyBorder="1">
      <alignment vertical="center"/>
    </xf>
    <xf numFmtId="183" fontId="25" fillId="0" borderId="25" xfId="0" applyNumberFormat="1" applyFont="1" applyBorder="1">
      <alignment vertical="center"/>
    </xf>
    <xf numFmtId="0" fontId="0" fillId="3" borderId="45" xfId="0" applyFill="1" applyBorder="1" applyAlignment="1">
      <alignment horizontal="center" vertical="center"/>
    </xf>
    <xf numFmtId="41" fontId="0" fillId="0" borderId="26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0" fontId="7" fillId="0" borderId="22" xfId="0" applyFont="1" applyBorder="1">
      <alignment vertical="center"/>
    </xf>
    <xf numFmtId="0" fontId="2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3" fillId="0" borderId="20" xfId="0" applyFont="1" applyBorder="1">
      <alignment vertical="center"/>
    </xf>
    <xf numFmtId="0" fontId="3" fillId="0" borderId="2" xfId="0" applyFont="1" applyBorder="1">
      <alignment vertical="center"/>
    </xf>
    <xf numFmtId="0" fontId="22" fillId="0" borderId="20" xfId="0" applyFont="1" applyBorder="1">
      <alignment vertical="center"/>
    </xf>
    <xf numFmtId="187" fontId="22" fillId="0" borderId="2" xfId="0" applyNumberFormat="1" applyFont="1" applyBorder="1">
      <alignment vertical="center"/>
    </xf>
    <xf numFmtId="187" fontId="22" fillId="0" borderId="3" xfId="0" applyNumberFormat="1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0" fillId="11" borderId="0" xfId="0" applyFill="1">
      <alignment vertical="center"/>
    </xf>
    <xf numFmtId="0" fontId="0" fillId="10" borderId="0" xfId="0" applyFill="1">
      <alignment vertical="center"/>
    </xf>
    <xf numFmtId="0" fontId="26" fillId="11" borderId="0" xfId="0" applyFont="1" applyFill="1" applyAlignment="1">
      <alignment horizontal="center" vertical="center" wrapText="1"/>
    </xf>
    <xf numFmtId="0" fontId="27" fillId="11" borderId="0" xfId="0" applyFont="1" applyFill="1" applyAlignment="1">
      <alignment vertical="center" wrapText="1"/>
    </xf>
    <xf numFmtId="0" fontId="28" fillId="0" borderId="34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178" fontId="28" fillId="0" borderId="16" xfId="0" applyNumberFormat="1" applyFont="1" applyBorder="1" applyAlignment="1">
      <alignment horizontal="center" vertical="center"/>
    </xf>
    <xf numFmtId="176" fontId="28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2" borderId="20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left" vertical="center" indent="1"/>
    </xf>
    <xf numFmtId="41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41" fontId="0" fillId="9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0" fillId="10" borderId="34" xfId="0" applyFill="1" applyBorder="1" applyAlignment="1">
      <alignment horizontal="center" vertical="center"/>
    </xf>
    <xf numFmtId="176" fontId="0" fillId="10" borderId="1" xfId="0" applyNumberFormat="1" applyFill="1" applyBorder="1" applyAlignment="1">
      <alignment horizontal="right" vertical="center"/>
    </xf>
    <xf numFmtId="176" fontId="4" fillId="9" borderId="45" xfId="0" applyNumberFormat="1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176" fontId="0" fillId="10" borderId="13" xfId="0" applyNumberFormat="1" applyFill="1" applyBorder="1" applyAlignment="1">
      <alignment horizontal="right" vertical="center"/>
    </xf>
    <xf numFmtId="176" fontId="0" fillId="14" borderId="13" xfId="0" applyNumberFormat="1" applyFill="1" applyBorder="1" applyAlignment="1">
      <alignment horizontal="right" vertical="center"/>
    </xf>
    <xf numFmtId="176" fontId="0" fillId="14" borderId="12" xfId="0" applyNumberForma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4" fillId="15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>
      <alignment vertical="center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183" fontId="25" fillId="9" borderId="3" xfId="0" applyNumberFormat="1" applyFont="1" applyFill="1" applyBorder="1">
      <alignment vertical="center"/>
    </xf>
    <xf numFmtId="0" fontId="4" fillId="0" borderId="20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11" fillId="0" borderId="10" xfId="0" applyFont="1" applyBorder="1" applyAlignment="1">
      <alignment horizontal="center" vertical="center"/>
    </xf>
    <xf numFmtId="0" fontId="23" fillId="0" borderId="20" xfId="0" applyFont="1" applyBorder="1" applyAlignment="1">
      <alignment horizontal="distributed" vertical="center" wrapText="1"/>
    </xf>
    <xf numFmtId="0" fontId="23" fillId="0" borderId="2" xfId="0" applyFont="1" applyBorder="1" applyAlignment="1">
      <alignment horizontal="distributed" vertical="center" wrapText="1"/>
    </xf>
    <xf numFmtId="0" fontId="23" fillId="0" borderId="3" xfId="0" applyFont="1" applyBorder="1" applyAlignment="1">
      <alignment horizontal="distributed" vertical="center" wrapText="1"/>
    </xf>
    <xf numFmtId="176" fontId="1" fillId="0" borderId="20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83" fontId="24" fillId="8" borderId="20" xfId="0" applyNumberFormat="1" applyFont="1" applyFill="1" applyBorder="1" applyAlignment="1">
      <alignment horizontal="center" vertical="center"/>
    </xf>
    <xf numFmtId="183" fontId="24" fillId="8" borderId="2" xfId="0" applyNumberFormat="1" applyFont="1" applyFill="1" applyBorder="1" applyAlignment="1">
      <alignment horizontal="center" vertical="center"/>
    </xf>
    <xf numFmtId="183" fontId="24" fillId="8" borderId="3" xfId="0" applyNumberFormat="1" applyFont="1" applyFill="1" applyBorder="1" applyAlignment="1">
      <alignment horizontal="center" vertical="center"/>
    </xf>
    <xf numFmtId="183" fontId="24" fillId="9" borderId="20" xfId="0" applyNumberFormat="1" applyFont="1" applyFill="1" applyBorder="1" applyAlignment="1">
      <alignment horizontal="right" vertical="center" indent="1"/>
    </xf>
    <xf numFmtId="183" fontId="24" fillId="9" borderId="2" xfId="0" applyNumberFormat="1" applyFont="1" applyFill="1" applyBorder="1" applyAlignment="1">
      <alignment horizontal="right" vertical="center" inden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" fillId="0" borderId="4" xfId="0" applyFont="1" applyBorder="1">
      <alignment vertical="center"/>
    </xf>
    <xf numFmtId="0" fontId="0" fillId="0" borderId="0" xfId="0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24" fillId="0" borderId="20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3" fillId="0" borderId="6" xfId="0" applyFont="1" applyBorder="1" applyAlignment="1">
      <alignment horizontal="distributed" vertical="distributed" wrapText="1"/>
    </xf>
    <xf numFmtId="0" fontId="23" fillId="0" borderId="7" xfId="0" applyFont="1" applyBorder="1" applyAlignment="1">
      <alignment horizontal="distributed" vertical="distributed" wrapText="1"/>
    </xf>
    <xf numFmtId="0" fontId="23" fillId="0" borderId="8" xfId="0" applyFont="1" applyBorder="1" applyAlignment="1">
      <alignment horizontal="distributed" vertical="distributed" wrapText="1"/>
    </xf>
    <xf numFmtId="0" fontId="23" fillId="0" borderId="4" xfId="0" applyFont="1" applyBorder="1" applyAlignment="1">
      <alignment horizontal="distributed" vertical="distributed" wrapText="1"/>
    </xf>
    <xf numFmtId="0" fontId="23" fillId="0" borderId="0" xfId="0" applyFont="1" applyAlignment="1">
      <alignment horizontal="distributed" vertical="distributed" wrapText="1"/>
    </xf>
    <xf numFmtId="0" fontId="23" fillId="0" borderId="5" xfId="0" applyFont="1" applyBorder="1" applyAlignment="1">
      <alignment horizontal="distributed" vertical="distributed" wrapText="1"/>
    </xf>
    <xf numFmtId="0" fontId="23" fillId="0" borderId="9" xfId="0" applyFont="1" applyBorder="1" applyAlignment="1">
      <alignment horizontal="distributed" vertical="distributed" wrapText="1"/>
    </xf>
    <xf numFmtId="0" fontId="23" fillId="0" borderId="10" xfId="0" applyFont="1" applyBorder="1" applyAlignment="1">
      <alignment horizontal="distributed" vertical="distributed" wrapText="1"/>
    </xf>
    <xf numFmtId="0" fontId="23" fillId="0" borderId="11" xfId="0" applyFont="1" applyBorder="1" applyAlignment="1">
      <alignment horizontal="distributed" vertical="distributed" wrapText="1"/>
    </xf>
    <xf numFmtId="0" fontId="34" fillId="0" borderId="5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88" fontId="1" fillId="0" borderId="20" xfId="0" applyNumberFormat="1" applyFont="1" applyBorder="1" applyAlignment="1">
      <alignment horizontal="center" vertical="center" wrapText="1"/>
    </xf>
    <xf numFmtId="188" fontId="1" fillId="0" borderId="2" xfId="0" applyNumberFormat="1" applyFont="1" applyBorder="1" applyAlignment="1">
      <alignment horizontal="center" vertical="center" wrapText="1"/>
    </xf>
    <xf numFmtId="182" fontId="24" fillId="0" borderId="20" xfId="0" applyNumberFormat="1" applyFont="1" applyBorder="1" applyAlignment="1">
      <alignment horizontal="center" vertical="center"/>
    </xf>
    <xf numFmtId="182" fontId="24" fillId="0" borderId="2" xfId="0" applyNumberFormat="1" applyFont="1" applyBorder="1" applyAlignment="1">
      <alignment horizontal="center" vertical="center"/>
    </xf>
    <xf numFmtId="182" fontId="24" fillId="0" borderId="3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4" fillId="0" borderId="2" xfId="0" applyFont="1" applyBorder="1" applyAlignment="1">
      <alignment horizontal="left" vertical="center" shrinkToFit="1"/>
    </xf>
    <xf numFmtId="0" fontId="24" fillId="0" borderId="3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183" fontId="3" fillId="0" borderId="2" xfId="0" applyNumberFormat="1" applyFont="1" applyBorder="1" applyAlignment="1">
      <alignment horizontal="left" vertical="center"/>
    </xf>
    <xf numFmtId="183" fontId="3" fillId="0" borderId="3" xfId="0" applyNumberFormat="1" applyFont="1" applyBorder="1" applyAlignment="1">
      <alignment horizontal="left" vertical="center"/>
    </xf>
    <xf numFmtId="3" fontId="5" fillId="0" borderId="59" xfId="0" applyNumberFormat="1" applyFont="1" applyBorder="1" applyAlignment="1">
      <alignment horizontal="right" vertical="center" indent="1"/>
    </xf>
    <xf numFmtId="3" fontId="5" fillId="0" borderId="60" xfId="0" applyNumberFormat="1" applyFont="1" applyBorder="1" applyAlignment="1">
      <alignment horizontal="right" vertical="center" indent="1"/>
    </xf>
    <xf numFmtId="0" fontId="33" fillId="16" borderId="52" xfId="0" applyFont="1" applyFill="1" applyBorder="1" applyAlignment="1">
      <alignment horizontal="center" vertical="center" textRotation="255"/>
    </xf>
    <xf numFmtId="0" fontId="33" fillId="16" borderId="61" xfId="0" applyFont="1" applyFill="1" applyBorder="1" applyAlignment="1">
      <alignment horizontal="center" vertical="center" textRotation="255"/>
    </xf>
    <xf numFmtId="0" fontId="33" fillId="16" borderId="16" xfId="0" applyFont="1" applyFill="1" applyBorder="1" applyAlignment="1">
      <alignment horizontal="center" vertical="center" textRotation="255"/>
    </xf>
    <xf numFmtId="0" fontId="33" fillId="16" borderId="6" xfId="0" applyFont="1" applyFill="1" applyBorder="1" applyAlignment="1">
      <alignment horizontal="center" vertical="center"/>
    </xf>
    <xf numFmtId="0" fontId="33" fillId="16" borderId="9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left" vertical="center" indent="1"/>
    </xf>
    <xf numFmtId="0" fontId="5" fillId="0" borderId="55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 wrapText="1"/>
    </xf>
    <xf numFmtId="181" fontId="5" fillId="0" borderId="55" xfId="0" applyNumberFormat="1" applyFont="1" applyBorder="1" applyAlignment="1">
      <alignment horizontal="center" vertical="center"/>
    </xf>
    <xf numFmtId="181" fontId="5" fillId="0" borderId="56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left" vertical="center" indent="1"/>
    </xf>
    <xf numFmtId="181" fontId="5" fillId="0" borderId="59" xfId="0" applyNumberFormat="1" applyFont="1" applyBorder="1" applyAlignment="1">
      <alignment horizontal="right" vertical="center" indent="1"/>
    </xf>
    <xf numFmtId="181" fontId="5" fillId="0" borderId="60" xfId="0" applyNumberFormat="1" applyFont="1" applyBorder="1" applyAlignment="1">
      <alignment horizontal="right" vertical="center" indent="1"/>
    </xf>
    <xf numFmtId="0" fontId="33" fillId="16" borderId="6" xfId="0" applyFont="1" applyFill="1" applyBorder="1" applyAlignment="1">
      <alignment horizontal="center" vertical="center" wrapText="1"/>
    </xf>
    <xf numFmtId="0" fontId="33" fillId="16" borderId="53" xfId="0" applyFont="1" applyFill="1" applyBorder="1" applyAlignment="1">
      <alignment horizontal="center" vertical="center" wrapText="1"/>
    </xf>
    <xf numFmtId="0" fontId="33" fillId="16" borderId="9" xfId="0" applyFont="1" applyFill="1" applyBorder="1" applyAlignment="1">
      <alignment horizontal="center" vertical="center" wrapText="1"/>
    </xf>
    <xf numFmtId="0" fontId="33" fillId="16" borderId="57" xfId="0" applyFont="1" applyFill="1" applyBorder="1" applyAlignment="1">
      <alignment horizontal="center" vertical="center" wrapText="1"/>
    </xf>
    <xf numFmtId="176" fontId="5" fillId="0" borderId="59" xfId="0" applyNumberFormat="1" applyFont="1" applyBorder="1" applyAlignment="1">
      <alignment horizontal="left" vertical="center" indent="1"/>
    </xf>
    <xf numFmtId="183" fontId="24" fillId="7" borderId="1" xfId="0" applyNumberFormat="1" applyFont="1" applyFill="1" applyBorder="1" applyAlignment="1">
      <alignment horizontal="center" vertical="center"/>
    </xf>
    <xf numFmtId="183" fontId="24" fillId="6" borderId="20" xfId="0" applyNumberFormat="1" applyFont="1" applyFill="1" applyBorder="1" applyAlignment="1">
      <alignment horizontal="right" vertical="center" indent="1"/>
    </xf>
    <xf numFmtId="183" fontId="24" fillId="6" borderId="2" xfId="0" applyNumberFormat="1" applyFont="1" applyFill="1" applyBorder="1" applyAlignment="1">
      <alignment horizontal="right" vertical="center" indent="1"/>
    </xf>
    <xf numFmtId="183" fontId="24" fillId="6" borderId="1" xfId="0" applyNumberFormat="1" applyFont="1" applyFill="1" applyBorder="1" applyAlignment="1">
      <alignment horizontal="center" vertical="center"/>
    </xf>
    <xf numFmtId="183" fontId="25" fillId="6" borderId="2" xfId="0" applyNumberFormat="1" applyFont="1" applyFill="1" applyBorder="1">
      <alignment vertical="center"/>
    </xf>
    <xf numFmtId="183" fontId="25" fillId="6" borderId="3" xfId="0" applyNumberFormat="1" applyFont="1" applyFill="1" applyBorder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176" fontId="18" fillId="0" borderId="48" xfId="0" applyNumberFormat="1" applyFont="1" applyBorder="1" applyAlignment="1">
      <alignment horizontal="center" vertical="center"/>
    </xf>
    <xf numFmtId="176" fontId="18" fillId="0" borderId="29" xfId="0" applyNumberFormat="1" applyFont="1" applyBorder="1" applyAlignment="1">
      <alignment horizontal="center" vertical="center"/>
    </xf>
    <xf numFmtId="176" fontId="18" fillId="0" borderId="30" xfId="0" applyNumberFormat="1" applyFont="1" applyBorder="1" applyAlignment="1">
      <alignment horizontal="center" vertical="center"/>
    </xf>
    <xf numFmtId="184" fontId="18" fillId="0" borderId="49" xfId="0" applyNumberFormat="1" applyFont="1" applyBorder="1" applyAlignment="1">
      <alignment horizontal="center" vertical="center"/>
    </xf>
    <xf numFmtId="184" fontId="18" fillId="0" borderId="2" xfId="0" applyNumberFormat="1" applyFont="1" applyBorder="1" applyAlignment="1">
      <alignment horizontal="center" vertical="center"/>
    </xf>
    <xf numFmtId="184" fontId="18" fillId="0" borderId="25" xfId="0" applyNumberFormat="1" applyFont="1" applyBorder="1" applyAlignment="1">
      <alignment horizontal="center" vertical="center"/>
    </xf>
    <xf numFmtId="183" fontId="18" fillId="0" borderId="49" xfId="0" applyNumberFormat="1" applyFont="1" applyBorder="1" applyAlignment="1">
      <alignment horizontal="center" vertical="center"/>
    </xf>
    <xf numFmtId="183" fontId="18" fillId="0" borderId="2" xfId="0" applyNumberFormat="1" applyFont="1" applyBorder="1" applyAlignment="1">
      <alignment horizontal="center" vertical="center"/>
    </xf>
    <xf numFmtId="183" fontId="18" fillId="0" borderId="25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1" fillId="0" borderId="41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32" fillId="0" borderId="20" xfId="1" applyFont="1" applyBorder="1" applyAlignment="1">
      <alignment horizontal="left" vertical="center"/>
    </xf>
    <xf numFmtId="0" fontId="32" fillId="0" borderId="2" xfId="1" applyFont="1" applyBorder="1" applyAlignment="1">
      <alignment horizontal="left" vertical="center"/>
    </xf>
    <xf numFmtId="0" fontId="32" fillId="0" borderId="25" xfId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83" fontId="4" fillId="0" borderId="20" xfId="0" applyNumberFormat="1" applyFont="1" applyBorder="1" applyAlignment="1">
      <alignment horizontal="left" vertical="center"/>
    </xf>
    <xf numFmtId="183" fontId="4" fillId="0" borderId="25" xfId="0" applyNumberFormat="1" applyFont="1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83" fontId="0" fillId="2" borderId="20" xfId="0" applyNumberFormat="1" applyFill="1" applyBorder="1" applyAlignment="1">
      <alignment horizontal="right" vertical="center"/>
    </xf>
    <xf numFmtId="183" fontId="0" fillId="2" borderId="2" xfId="0" applyNumberFormat="1" applyFill="1" applyBorder="1" applyAlignment="1">
      <alignment horizontal="right" vertical="center"/>
    </xf>
    <xf numFmtId="183" fontId="0" fillId="2" borderId="3" xfId="0" applyNumberFormat="1" applyFill="1" applyBorder="1" applyAlignment="1">
      <alignment horizontal="right" vertical="center"/>
    </xf>
    <xf numFmtId="183" fontId="0" fillId="13" borderId="20" xfId="0" applyNumberFormat="1" applyFill="1" applyBorder="1" applyAlignment="1">
      <alignment horizontal="right" vertical="center"/>
    </xf>
    <xf numFmtId="183" fontId="0" fillId="13" borderId="2" xfId="0" applyNumberFormat="1" applyFill="1" applyBorder="1" applyAlignment="1">
      <alignment horizontal="right" vertical="center"/>
    </xf>
    <xf numFmtId="183" fontId="0" fillId="13" borderId="3" xfId="0" applyNumberFormat="1" applyFill="1" applyBorder="1" applyAlignment="1">
      <alignment horizontal="right" vertical="center"/>
    </xf>
    <xf numFmtId="183" fontId="0" fillId="2" borderId="25" xfId="0" applyNumberFormat="1" applyFill="1" applyBorder="1" applyAlignment="1">
      <alignment horizontal="right" vertical="center"/>
    </xf>
    <xf numFmtId="0" fontId="0" fillId="10" borderId="28" xfId="0" applyFill="1" applyBorder="1" applyAlignment="1">
      <alignment horizontal="center" vertical="center"/>
    </xf>
    <xf numFmtId="0" fontId="0" fillId="10" borderId="50" xfId="0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1" fillId="10" borderId="36" xfId="0" applyFont="1" applyFill="1" applyBorder="1" applyAlignment="1">
      <alignment horizontal="center" vertical="center" shrinkToFit="1"/>
    </xf>
    <xf numFmtId="0" fontId="0" fillId="10" borderId="29" xfId="0" applyFill="1" applyBorder="1" applyAlignment="1">
      <alignment horizontal="center" vertical="center" shrinkToFit="1"/>
    </xf>
    <xf numFmtId="0" fontId="0" fillId="10" borderId="50" xfId="0" applyFill="1" applyBorder="1" applyAlignment="1">
      <alignment horizontal="center" vertical="center" shrinkToFit="1"/>
    </xf>
    <xf numFmtId="0" fontId="0" fillId="10" borderId="30" xfId="0" applyFill="1" applyBorder="1" applyAlignment="1">
      <alignment horizontal="center" vertical="center"/>
    </xf>
    <xf numFmtId="183" fontId="3" fillId="2" borderId="20" xfId="0" applyNumberFormat="1" applyFont="1" applyFill="1" applyBorder="1" applyAlignment="1">
      <alignment horizontal="center" vertical="center"/>
    </xf>
    <xf numFmtId="183" fontId="3" fillId="2" borderId="2" xfId="0" applyNumberFormat="1" applyFont="1" applyFill="1" applyBorder="1" applyAlignment="1">
      <alignment horizontal="center" vertical="center"/>
    </xf>
    <xf numFmtId="183" fontId="3" fillId="2" borderId="20" xfId="0" applyNumberFormat="1" applyFont="1" applyFill="1" applyBorder="1">
      <alignment vertical="center"/>
    </xf>
    <xf numFmtId="183" fontId="3" fillId="2" borderId="2" xfId="0" applyNumberFormat="1" applyFont="1" applyFill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83" fontId="24" fillId="12" borderId="20" xfId="0" applyNumberFormat="1" applyFont="1" applyFill="1" applyBorder="1" applyAlignment="1">
      <alignment horizontal="center" vertical="center"/>
    </xf>
    <xf numFmtId="183" fontId="24" fillId="12" borderId="2" xfId="0" applyNumberFormat="1" applyFont="1" applyFill="1" applyBorder="1" applyAlignment="1">
      <alignment horizontal="center" vertical="center"/>
    </xf>
    <xf numFmtId="183" fontId="24" fillId="12" borderId="25" xfId="0" applyNumberFormat="1" applyFont="1" applyFill="1" applyBorder="1" applyAlignment="1">
      <alignment horizontal="center" vertical="center"/>
    </xf>
    <xf numFmtId="9" fontId="0" fillId="12" borderId="19" xfId="0" applyNumberFormat="1" applyFill="1" applyBorder="1" applyAlignment="1">
      <alignment horizontal="center" vertical="center"/>
    </xf>
    <xf numFmtId="9" fontId="0" fillId="12" borderId="26" xfId="0" applyNumberFormat="1" applyFill="1" applyBorder="1" applyAlignment="1">
      <alignment horizontal="center" vertical="center"/>
    </xf>
    <xf numFmtId="9" fontId="0" fillId="12" borderId="27" xfId="0" applyNumberForma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83" fontId="24" fillId="6" borderId="20" xfId="0" applyNumberFormat="1" applyFont="1" applyFill="1" applyBorder="1" applyAlignment="1">
      <alignment horizontal="center" vertical="center"/>
    </xf>
    <xf numFmtId="183" fontId="24" fillId="6" borderId="2" xfId="0" applyNumberFormat="1" applyFont="1" applyFill="1" applyBorder="1" applyAlignment="1">
      <alignment horizontal="center" vertical="center"/>
    </xf>
    <xf numFmtId="183" fontId="24" fillId="6" borderId="3" xfId="0" applyNumberFormat="1" applyFont="1" applyFill="1" applyBorder="1" applyAlignment="1">
      <alignment horizontal="center" vertical="center"/>
    </xf>
    <xf numFmtId="183" fontId="24" fillId="0" borderId="20" xfId="0" applyNumberFormat="1" applyFont="1" applyBorder="1">
      <alignment vertical="center"/>
    </xf>
    <xf numFmtId="183" fontId="24" fillId="0" borderId="2" xfId="0" applyNumberFormat="1" applyFont="1" applyBorder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0" fontId="0" fillId="10" borderId="20" xfId="0" applyNumberFormat="1" applyFill="1" applyBorder="1" applyAlignment="1">
      <alignment horizontal="center" vertical="center"/>
    </xf>
    <xf numFmtId="10" fontId="0" fillId="10" borderId="2" xfId="0" applyNumberFormat="1" applyFill="1" applyBorder="1" applyAlignment="1">
      <alignment horizontal="center" vertical="center"/>
    </xf>
    <xf numFmtId="10" fontId="0" fillId="10" borderId="25" xfId="0" applyNumberFormat="1" applyFill="1" applyBorder="1" applyAlignment="1">
      <alignment horizontal="center" vertical="center"/>
    </xf>
    <xf numFmtId="185" fontId="1" fillId="10" borderId="20" xfId="0" applyNumberFormat="1" applyFont="1" applyFill="1" applyBorder="1" applyAlignment="1">
      <alignment horizontal="center" vertical="center"/>
    </xf>
    <xf numFmtId="185" fontId="0" fillId="10" borderId="2" xfId="0" applyNumberFormat="1" applyFill="1" applyBorder="1" applyAlignment="1">
      <alignment horizontal="center" vertical="center"/>
    </xf>
    <xf numFmtId="185" fontId="0" fillId="10" borderId="25" xfId="0" applyNumberFormat="1" applyFill="1" applyBorder="1" applyAlignment="1">
      <alignment horizontal="center" vertical="center"/>
    </xf>
    <xf numFmtId="183" fontId="0" fillId="9" borderId="20" xfId="0" applyNumberFormat="1" applyFill="1" applyBorder="1" applyAlignment="1">
      <alignment horizontal="right" vertical="center"/>
    </xf>
    <xf numFmtId="183" fontId="0" fillId="9" borderId="2" xfId="0" applyNumberFormat="1" applyFill="1" applyBorder="1" applyAlignment="1">
      <alignment horizontal="right" vertical="center"/>
    </xf>
    <xf numFmtId="183" fontId="0" fillId="9" borderId="3" xfId="0" applyNumberFormat="1" applyFill="1" applyBorder="1" applyAlignment="1">
      <alignment horizontal="right" vertical="center"/>
    </xf>
    <xf numFmtId="183" fontId="0" fillId="14" borderId="20" xfId="0" applyNumberFormat="1" applyFill="1" applyBorder="1" applyAlignment="1">
      <alignment horizontal="right" vertical="center"/>
    </xf>
    <xf numFmtId="183" fontId="0" fillId="14" borderId="2" xfId="0" applyNumberFormat="1" applyFill="1" applyBorder="1" applyAlignment="1">
      <alignment horizontal="right" vertical="center"/>
    </xf>
    <xf numFmtId="183" fontId="0" fillId="14" borderId="25" xfId="0" applyNumberFormat="1" applyFill="1" applyBorder="1" applyAlignment="1">
      <alignment horizontal="right" vertical="center"/>
    </xf>
    <xf numFmtId="183" fontId="0" fillId="14" borderId="19" xfId="0" applyNumberFormat="1" applyFill="1" applyBorder="1" applyAlignment="1">
      <alignment horizontal="right" vertical="center"/>
    </xf>
    <xf numFmtId="183" fontId="0" fillId="14" borderId="26" xfId="0" applyNumberFormat="1" applyFill="1" applyBorder="1" applyAlignment="1">
      <alignment horizontal="right" vertical="center"/>
    </xf>
    <xf numFmtId="183" fontId="0" fillId="14" borderId="44" xfId="0" applyNumberFormat="1" applyFill="1" applyBorder="1" applyAlignment="1">
      <alignment horizontal="right" vertical="center"/>
    </xf>
    <xf numFmtId="183" fontId="1" fillId="9" borderId="20" xfId="0" applyNumberFormat="1" applyFont="1" applyFill="1" applyBorder="1" applyAlignment="1">
      <alignment horizontal="right" vertical="center"/>
    </xf>
    <xf numFmtId="0" fontId="0" fillId="3" borderId="3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1" fontId="1" fillId="0" borderId="20" xfId="0" applyNumberFormat="1" applyFont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41" fontId="0" fillId="0" borderId="25" xfId="0" applyNumberFormat="1" applyBorder="1" applyAlignment="1">
      <alignment horizontal="center" vertical="center"/>
    </xf>
    <xf numFmtId="0" fontId="1" fillId="14" borderId="37" xfId="0" applyFon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183" fontId="0" fillId="14" borderId="3" xfId="0" applyNumberFormat="1" applyFill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77" fontId="0" fillId="9" borderId="20" xfId="0" applyNumberFormat="1" applyFill="1" applyBorder="1" applyAlignment="1">
      <alignment horizontal="center" vertical="center"/>
    </xf>
    <xf numFmtId="177" fontId="0" fillId="9" borderId="2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82" fontId="0" fillId="0" borderId="20" xfId="0" applyNumberFormat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183" fontId="0" fillId="2" borderId="20" xfId="0" applyNumberFormat="1" applyFill="1" applyBorder="1" applyAlignment="1">
      <alignment horizontal="center" vertical="center"/>
    </xf>
    <xf numFmtId="183" fontId="0" fillId="2" borderId="2" xfId="0" applyNumberFormat="1" applyFill="1" applyBorder="1" applyAlignment="1">
      <alignment horizontal="center" vertical="center"/>
    </xf>
    <xf numFmtId="186" fontId="0" fillId="5" borderId="19" xfId="0" applyNumberFormat="1" applyFill="1" applyBorder="1" applyAlignment="1">
      <alignment horizontal="center" vertical="center"/>
    </xf>
    <xf numFmtId="186" fontId="0" fillId="5" borderId="44" xfId="0" applyNumberForma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2" borderId="20" xfId="0" applyNumberFormat="1" applyFill="1" applyBorder="1" applyAlignment="1">
      <alignment horizontal="center" vertical="center"/>
    </xf>
    <xf numFmtId="180" fontId="0" fillId="2" borderId="2" xfId="0" applyNumberForma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183" fontId="0" fillId="10" borderId="36" xfId="0" applyNumberFormat="1" applyFill="1" applyBorder="1" applyAlignment="1">
      <alignment horizontal="center" vertical="center"/>
    </xf>
    <xf numFmtId="183" fontId="0" fillId="10" borderId="29" xfId="0" applyNumberFormat="1" applyFill="1" applyBorder="1" applyAlignment="1">
      <alignment horizontal="center" vertical="center"/>
    </xf>
    <xf numFmtId="183" fontId="0" fillId="10" borderId="50" xfId="0" applyNumberFormat="1" applyFill="1" applyBorder="1" applyAlignment="1">
      <alignment horizontal="center" vertical="center"/>
    </xf>
    <xf numFmtId="183" fontId="0" fillId="10" borderId="30" xfId="0" applyNumberForma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0" fillId="10" borderId="38" xfId="0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0" fillId="14" borderId="38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31" fillId="10" borderId="37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176" fontId="4" fillId="4" borderId="45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533333</xdr:colOff>
      <xdr:row>28</xdr:row>
      <xdr:rowOff>227134</xdr:rowOff>
    </xdr:from>
    <xdr:to>
      <xdr:col>4</xdr:col>
      <xdr:colOff>991233</xdr:colOff>
      <xdr:row>28</xdr:row>
      <xdr:rowOff>615461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CCC5DB7-2DF3-4CB0-AA2B-DF8E481CE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68" t="94516" r="-250"/>
        <a:stretch/>
      </xdr:blipFill>
      <xdr:spPr>
        <a:xfrm>
          <a:off x="533333" y="9143999"/>
          <a:ext cx="2522627" cy="388327"/>
        </a:xfrm>
        <a:prstGeom prst="rect">
          <a:avLst/>
        </a:prstGeom>
      </xdr:spPr>
    </xdr:pic>
    <xdr:clientData/>
  </xdr:twoCellAnchor>
  <xdr:twoCellAnchor editAs="oneCell">
    <xdr:from>
      <xdr:col>5</xdr:col>
      <xdr:colOff>489766</xdr:colOff>
      <xdr:row>28</xdr:row>
      <xdr:rowOff>219809</xdr:rowOff>
    </xdr:from>
    <xdr:to>
      <xdr:col>10</xdr:col>
      <xdr:colOff>41984</xdr:colOff>
      <xdr:row>28</xdr:row>
      <xdr:rowOff>542194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7358A3ED-8F3D-4CF5-AA0D-4CAEFF7134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97" t="88649" r="-250" b="5607"/>
        <a:stretch/>
      </xdr:blipFill>
      <xdr:spPr>
        <a:xfrm>
          <a:off x="3171420" y="9136674"/>
          <a:ext cx="2592891" cy="3223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60</xdr:row>
          <xdr:rowOff>19050</xdr:rowOff>
        </xdr:from>
        <xdr:to>
          <xdr:col>5</xdr:col>
          <xdr:colOff>333375</xdr:colOff>
          <xdr:row>60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한전선로 계통연계비 포함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60</xdr:row>
          <xdr:rowOff>9525</xdr:rowOff>
        </xdr:from>
        <xdr:to>
          <xdr:col>10</xdr:col>
          <xdr:colOff>209550</xdr:colOff>
          <xdr:row>60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선로 계통연계비 사업주 부담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7328</xdr:colOff>
      <xdr:row>25</xdr:row>
      <xdr:rowOff>249116</xdr:rowOff>
    </xdr:from>
    <xdr:to>
      <xdr:col>6</xdr:col>
      <xdr:colOff>537808</xdr:colOff>
      <xdr:row>27</xdr:row>
      <xdr:rowOff>222751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71AA283-A2B0-44FF-BC04-42CCE99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847" y="7986347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468922</xdr:colOff>
      <xdr:row>73</xdr:row>
      <xdr:rowOff>183173</xdr:rowOff>
    </xdr:from>
    <xdr:to>
      <xdr:col>12</xdr:col>
      <xdr:colOff>43922</xdr:colOff>
      <xdr:row>74</xdr:row>
      <xdr:rowOff>274026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CE162E3-B660-4564-B8C4-80CC68D6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4497" y="18890273"/>
          <a:ext cx="618354" cy="505557"/>
        </a:xfrm>
        <a:prstGeom prst="rect">
          <a:avLst/>
        </a:prstGeom>
      </xdr:spPr>
    </xdr:pic>
    <xdr:clientData/>
  </xdr:twoCellAnchor>
  <xdr:twoCellAnchor editAs="oneCell">
    <xdr:from>
      <xdr:col>11</xdr:col>
      <xdr:colOff>619468</xdr:colOff>
      <xdr:row>75</xdr:row>
      <xdr:rowOff>269732</xdr:rowOff>
    </xdr:from>
    <xdr:to>
      <xdr:col>11</xdr:col>
      <xdr:colOff>959581</xdr:colOff>
      <xdr:row>76</xdr:row>
      <xdr:rowOff>272452</xdr:rowOff>
    </xdr:to>
    <xdr:pic>
      <xdr:nvPicPr>
        <xdr:cNvPr id="8" name="Picture 66">
          <a:extLst>
            <a:ext uri="{FF2B5EF4-FFF2-40B4-BE49-F238E27FC236}">
              <a16:creationId xmlns:a16="http://schemas.microsoft.com/office/drawing/2014/main" id="{602DFD2E-0EE7-41D7-B435-579729266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47487">
          <a:off x="7125043" y="19586432"/>
          <a:ext cx="343044" cy="32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6</xdr:row>
      <xdr:rowOff>50523</xdr:rowOff>
    </xdr:from>
    <xdr:to>
      <xdr:col>6</xdr:col>
      <xdr:colOff>114300</xdr:colOff>
      <xdr:row>8</xdr:row>
      <xdr:rowOff>66674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3D604F4-95EF-1FB7-A6A7-1BF1F77A3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1679298"/>
          <a:ext cx="619125" cy="511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lp@hes.co.k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119"/>
  <sheetViews>
    <sheetView tabSelected="1" view="pageBreakPreview" topLeftCell="A60" zoomScale="130" zoomScaleNormal="130" zoomScaleSheetLayoutView="130" workbookViewId="0">
      <selection activeCell="C72" sqref="A72:XFD77"/>
    </sheetView>
  </sheetViews>
  <sheetFormatPr defaultRowHeight="16.5"/>
  <cols>
    <col min="1" max="2" width="6.25" customWidth="1"/>
    <col min="3" max="4" width="6.875" customWidth="1"/>
    <col min="5" max="5" width="19.5" customWidth="1"/>
    <col min="6" max="6" width="7.25" customWidth="1"/>
    <col min="7" max="7" width="10" customWidth="1"/>
    <col min="8" max="8" width="8.5" customWidth="1"/>
    <col min="9" max="10" width="7.125" customWidth="1"/>
    <col min="11" max="11" width="5.25" customWidth="1"/>
    <col min="12" max="12" width="13.625" customWidth="1"/>
    <col min="14" max="15" width="6.5" customWidth="1"/>
  </cols>
  <sheetData>
    <row r="1" spans="1:15" ht="16.5" customHeigh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16.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49.5" customHeight="1">
      <c r="A3" s="150" t="s">
        <v>195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5" ht="39.7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5" ht="1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N5" s="89"/>
    </row>
    <row r="6" spans="1:15" ht="15" customHeight="1">
      <c r="A6" s="47"/>
      <c r="B6" s="151" t="str">
        <f>"[현장명  :    "&amp;F16&amp;"  태양광발전소]"</f>
        <v>[현장명  :    컨텍코리아  태양광발전소]</v>
      </c>
      <c r="C6" s="151"/>
      <c r="D6" s="151"/>
      <c r="E6" s="151"/>
      <c r="F6" s="151"/>
      <c r="G6" s="151"/>
      <c r="H6" s="151"/>
      <c r="I6" s="151"/>
      <c r="J6" s="151"/>
      <c r="K6" s="79"/>
      <c r="L6" s="47"/>
    </row>
    <row r="7" spans="1:15" ht="25.5" customHeight="1">
      <c r="A7" s="47"/>
      <c r="B7" s="152" t="s">
        <v>182</v>
      </c>
      <c r="C7" s="152"/>
      <c r="D7" s="152"/>
      <c r="E7" s="152"/>
      <c r="F7" s="152"/>
      <c r="G7" s="152"/>
      <c r="H7" s="152"/>
      <c r="I7" s="152"/>
      <c r="J7" s="152"/>
      <c r="K7" s="152"/>
      <c r="L7" s="47"/>
    </row>
    <row r="8" spans="1:15" ht="30" customHeight="1">
      <c r="A8" s="151" t="s">
        <v>151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1:15" ht="26.25" customHeight="1">
      <c r="A9" s="152" t="s">
        <v>188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</row>
    <row r="10" spans="1:15" ht="26.25" customHeight="1">
      <c r="A10" s="152" t="s">
        <v>187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</row>
    <row r="11" spans="1:15" ht="25.5" customHeight="1">
      <c r="A11" s="47"/>
      <c r="B11" s="152" t="s">
        <v>204</v>
      </c>
      <c r="C11" s="152"/>
      <c r="D11" s="153"/>
      <c r="E11" s="153"/>
      <c r="F11" s="153"/>
      <c r="G11" s="153"/>
      <c r="H11" s="153"/>
      <c r="I11" s="153"/>
      <c r="J11" s="153"/>
      <c r="K11" s="53"/>
      <c r="L11" s="47"/>
    </row>
    <row r="12" spans="1:15" ht="43.5" customHeight="1" thickBot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N12" s="90" t="s">
        <v>131</v>
      </c>
      <c r="O12" s="90" t="s">
        <v>135</v>
      </c>
    </row>
    <row r="13" spans="1:15" ht="35.1" customHeight="1">
      <c r="A13" s="47"/>
      <c r="B13" s="243" t="s">
        <v>102</v>
      </c>
      <c r="C13" s="244"/>
      <c r="D13" s="244"/>
      <c r="E13" s="245"/>
      <c r="F13" s="252" t="s">
        <v>205</v>
      </c>
      <c r="G13" s="253"/>
      <c r="H13" s="253"/>
      <c r="I13" s="253"/>
      <c r="J13" s="253"/>
      <c r="K13" s="254"/>
      <c r="L13" s="47"/>
      <c r="N13" s="91" t="s">
        <v>132</v>
      </c>
      <c r="O13" s="91">
        <v>150</v>
      </c>
    </row>
    <row r="14" spans="1:15" ht="35.1" customHeight="1">
      <c r="A14" s="47"/>
      <c r="B14" s="246" t="s">
        <v>230</v>
      </c>
      <c r="C14" s="247"/>
      <c r="D14" s="247"/>
      <c r="E14" s="248"/>
      <c r="F14" s="255">
        <v>60</v>
      </c>
      <c r="G14" s="256"/>
      <c r="H14" s="256"/>
      <c r="I14" s="256"/>
      <c r="J14" s="256"/>
      <c r="K14" s="257"/>
      <c r="L14" s="47"/>
      <c r="N14" s="91" t="s">
        <v>133</v>
      </c>
      <c r="O14" s="91">
        <v>160</v>
      </c>
    </row>
    <row r="15" spans="1:15" ht="35.1" customHeight="1">
      <c r="A15" s="47"/>
      <c r="B15" s="246" t="s">
        <v>231</v>
      </c>
      <c r="C15" s="247"/>
      <c r="D15" s="247"/>
      <c r="E15" s="248"/>
      <c r="F15" s="258">
        <v>1400000</v>
      </c>
      <c r="G15" s="259"/>
      <c r="H15" s="259"/>
      <c r="I15" s="259"/>
      <c r="J15" s="259"/>
      <c r="K15" s="260"/>
      <c r="L15" s="47"/>
      <c r="N15" s="91" t="s">
        <v>134</v>
      </c>
      <c r="O15" s="91">
        <v>170</v>
      </c>
    </row>
    <row r="16" spans="1:15" ht="35.1" customHeight="1">
      <c r="A16" s="47"/>
      <c r="B16" s="246" t="s">
        <v>103</v>
      </c>
      <c r="C16" s="247"/>
      <c r="D16" s="247"/>
      <c r="E16" s="248"/>
      <c r="F16" s="261" t="s">
        <v>203</v>
      </c>
      <c r="G16" s="247"/>
      <c r="H16" s="247"/>
      <c r="I16" s="247"/>
      <c r="J16" s="247"/>
      <c r="K16" s="262"/>
      <c r="L16" s="47"/>
      <c r="N16" s="91" t="s">
        <v>139</v>
      </c>
      <c r="O16" s="91">
        <v>180</v>
      </c>
    </row>
    <row r="17" spans="1:15" ht="35.1" customHeight="1">
      <c r="A17" s="47"/>
      <c r="B17" s="246" t="s">
        <v>104</v>
      </c>
      <c r="C17" s="247"/>
      <c r="D17" s="247"/>
      <c r="E17" s="248"/>
      <c r="F17" s="261" t="s">
        <v>206</v>
      </c>
      <c r="G17" s="247"/>
      <c r="H17" s="247"/>
      <c r="I17" s="247"/>
      <c r="J17" s="247"/>
      <c r="K17" s="262"/>
      <c r="L17" s="47"/>
      <c r="N17" s="88"/>
      <c r="O17" s="88"/>
    </row>
    <row r="18" spans="1:15" ht="35.1" customHeight="1">
      <c r="A18" s="47"/>
      <c r="B18" s="246" t="s">
        <v>105</v>
      </c>
      <c r="C18" s="247"/>
      <c r="D18" s="247"/>
      <c r="E18" s="248"/>
      <c r="F18" s="263" t="s">
        <v>207</v>
      </c>
      <c r="G18" s="264"/>
      <c r="H18" s="264"/>
      <c r="I18" s="264"/>
      <c r="J18" s="264"/>
      <c r="K18" s="265"/>
      <c r="L18" s="47"/>
    </row>
    <row r="19" spans="1:15" ht="35.1" customHeight="1" thickBot="1">
      <c r="A19" s="47"/>
      <c r="B19" s="249" t="s">
        <v>106</v>
      </c>
      <c r="C19" s="250"/>
      <c r="D19" s="250"/>
      <c r="E19" s="251"/>
      <c r="F19" s="266" t="s">
        <v>128</v>
      </c>
      <c r="G19" s="267"/>
      <c r="H19" s="267"/>
      <c r="I19" s="267"/>
      <c r="J19" s="267"/>
      <c r="K19" s="268"/>
      <c r="L19" s="47"/>
    </row>
    <row r="20" spans="1:15" ht="23.25" customHeight="1">
      <c r="A20" s="47"/>
      <c r="B20" s="53"/>
      <c r="C20" s="53"/>
      <c r="D20" s="2"/>
      <c r="E20" s="153"/>
      <c r="F20" s="269"/>
      <c r="G20" s="269"/>
      <c r="H20" s="269"/>
      <c r="I20" s="269"/>
      <c r="J20" s="269"/>
      <c r="K20" s="47"/>
      <c r="L20" s="47"/>
    </row>
    <row r="21" spans="1:15" ht="23.2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5" ht="15" customHeight="1">
      <c r="A22" s="151" t="s">
        <v>152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</row>
    <row r="23" spans="1:15" ht="15" customHeight="1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</row>
    <row r="24" spans="1:15" ht="15" customHeight="1">
      <c r="A24" s="151" t="s">
        <v>184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</row>
    <row r="25" spans="1:15" ht="19.5" customHeight="1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</row>
    <row r="26" spans="1:15" ht="56.2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5" ht="30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5" ht="30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5" ht="49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5" ht="16.5" hidden="1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5" ht="16.5" hidden="1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5" ht="16.5" hidden="1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2" ht="16.5" hidden="1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1:12" ht="16.5" hidden="1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1:12" ht="16.5" hidden="1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12" ht="16.5" hidden="1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1:12" ht="16.5" hidden="1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1:12" ht="16.5" hidden="1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12" ht="4.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pans="1:12" ht="35.25" customHeight="1">
      <c r="A40" s="134" t="s">
        <v>59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</row>
    <row r="41" spans="1:12" ht="24.95" customHeight="1">
      <c r="A41" s="131" t="s">
        <v>69</v>
      </c>
      <c r="B41" s="132"/>
      <c r="C41" s="132"/>
      <c r="D41" s="133"/>
      <c r="E41" s="205" t="str">
        <f>F16</f>
        <v>컨텍코리아</v>
      </c>
      <c r="F41" s="206"/>
      <c r="G41" s="206"/>
      <c r="H41" s="206"/>
      <c r="I41" s="141" t="s">
        <v>62</v>
      </c>
      <c r="J41" s="141"/>
      <c r="K41" s="141"/>
      <c r="L41" s="142"/>
    </row>
    <row r="42" spans="1:12" ht="24.95" customHeight="1">
      <c r="A42" s="131" t="s">
        <v>101</v>
      </c>
      <c r="B42" s="132"/>
      <c r="C42" s="132"/>
      <c r="D42" s="133"/>
      <c r="E42" s="138" t="str">
        <f>+$F$13</f>
        <v>화성시 석교남길 55</v>
      </c>
      <c r="F42" s="139"/>
      <c r="G42" s="139"/>
      <c r="H42" s="139"/>
      <c r="I42" s="139"/>
      <c r="J42" s="139"/>
      <c r="K42" s="139"/>
      <c r="L42" s="140"/>
    </row>
    <row r="43" spans="1:12" ht="24.95" customHeight="1">
      <c r="A43" s="135" t="s">
        <v>63</v>
      </c>
      <c r="B43" s="136"/>
      <c r="C43" s="136"/>
      <c r="D43" s="137"/>
      <c r="E43" s="202">
        <f>$F$14</f>
        <v>60</v>
      </c>
      <c r="F43" s="203"/>
      <c r="G43" s="203"/>
      <c r="H43" s="203"/>
      <c r="I43" s="203"/>
      <c r="J43" s="203"/>
      <c r="K43" s="203"/>
      <c r="L43" s="204"/>
    </row>
    <row r="44" spans="1:12" ht="24.95" customHeight="1">
      <c r="A44" s="175" t="s">
        <v>121</v>
      </c>
      <c r="B44" s="176"/>
      <c r="C44" s="176"/>
      <c r="D44" s="177"/>
      <c r="E44" s="143" t="s">
        <v>113</v>
      </c>
      <c r="F44" s="144"/>
      <c r="G44" s="145"/>
      <c r="H44" s="237" t="s">
        <v>114</v>
      </c>
      <c r="I44" s="237"/>
      <c r="J44" s="237"/>
      <c r="K44" s="237"/>
      <c r="L44" s="237"/>
    </row>
    <row r="45" spans="1:12" ht="24.95" customHeight="1">
      <c r="A45" s="178"/>
      <c r="B45" s="179"/>
      <c r="C45" s="179"/>
      <c r="D45" s="180"/>
      <c r="E45" s="146">
        <f>$F$15</f>
        <v>1400000</v>
      </c>
      <c r="F45" s="147"/>
      <c r="G45" s="130" t="s">
        <v>136</v>
      </c>
      <c r="H45" s="238">
        <f>E45-200000</f>
        <v>1200000</v>
      </c>
      <c r="I45" s="239"/>
      <c r="J45" s="239"/>
      <c r="K45" s="241" t="s">
        <v>136</v>
      </c>
      <c r="L45" s="242"/>
    </row>
    <row r="46" spans="1:12" ht="24.95" customHeight="1">
      <c r="A46" s="181"/>
      <c r="B46" s="182"/>
      <c r="C46" s="182"/>
      <c r="D46" s="183"/>
      <c r="E46" s="146">
        <f>E45*E43</f>
        <v>84000000</v>
      </c>
      <c r="F46" s="147"/>
      <c r="G46" s="130" t="s">
        <v>112</v>
      </c>
      <c r="H46" s="238">
        <f>$H$45*$E$43</f>
        <v>72000000</v>
      </c>
      <c r="I46" s="239"/>
      <c r="J46" s="239"/>
      <c r="K46" s="241" t="s">
        <v>112</v>
      </c>
      <c r="L46" s="242"/>
    </row>
    <row r="47" spans="1:12" ht="24.95" customHeight="1">
      <c r="A47" s="135" t="s">
        <v>167</v>
      </c>
      <c r="B47" s="136"/>
      <c r="C47" s="136"/>
      <c r="D47" s="137"/>
      <c r="E47" s="146">
        <v>3000000</v>
      </c>
      <c r="F47" s="147"/>
      <c r="G47" s="130" t="s">
        <v>112</v>
      </c>
      <c r="H47" s="240" t="s">
        <v>196</v>
      </c>
      <c r="I47" s="240"/>
      <c r="J47" s="240"/>
      <c r="K47" s="240"/>
      <c r="L47" s="240"/>
    </row>
    <row r="48" spans="1:12" ht="24.95" customHeight="1">
      <c r="A48" s="135" t="s">
        <v>80</v>
      </c>
      <c r="B48" s="136"/>
      <c r="C48" s="136"/>
      <c r="D48" s="137"/>
      <c r="E48" s="207" t="s">
        <v>107</v>
      </c>
      <c r="F48" s="208"/>
      <c r="G48" s="208"/>
      <c r="H48" s="208"/>
      <c r="I48" s="208"/>
      <c r="J48" s="208"/>
      <c r="K48" s="208"/>
      <c r="L48" s="209"/>
    </row>
    <row r="49" spans="1:12" ht="24.95" customHeight="1">
      <c r="A49" s="135" t="s">
        <v>130</v>
      </c>
      <c r="B49" s="136"/>
      <c r="C49" s="136"/>
      <c r="D49" s="137"/>
      <c r="E49" s="172" t="s">
        <v>129</v>
      </c>
      <c r="F49" s="173"/>
      <c r="G49" s="173"/>
      <c r="H49" s="173"/>
      <c r="I49" s="173"/>
      <c r="J49" s="173"/>
      <c r="K49" s="173"/>
      <c r="L49" s="174"/>
    </row>
    <row r="50" spans="1:12" ht="24.95" customHeight="1">
      <c r="A50" s="131" t="s">
        <v>64</v>
      </c>
      <c r="B50" s="132"/>
      <c r="C50" s="132"/>
      <c r="D50" s="133"/>
      <c r="E50" s="189" t="s">
        <v>108</v>
      </c>
      <c r="F50" s="190"/>
      <c r="G50" s="190"/>
      <c r="H50" s="190"/>
      <c r="I50" s="190"/>
      <c r="J50" s="190"/>
      <c r="K50" s="190"/>
      <c r="L50" s="191"/>
    </row>
    <row r="51" spans="1:12" ht="24.95" customHeight="1">
      <c r="A51" s="163" t="s">
        <v>65</v>
      </c>
      <c r="B51" s="164"/>
      <c r="C51" s="164"/>
      <c r="D51" s="165"/>
      <c r="E51" s="160" t="s">
        <v>109</v>
      </c>
      <c r="F51" s="161"/>
      <c r="G51" s="161"/>
      <c r="H51" s="161"/>
      <c r="I51" s="161"/>
      <c r="J51" s="161"/>
      <c r="K51" s="161"/>
      <c r="L51" s="162"/>
    </row>
    <row r="52" spans="1:12" ht="24.95" customHeight="1">
      <c r="A52" s="166"/>
      <c r="B52" s="167"/>
      <c r="C52" s="167"/>
      <c r="D52" s="168"/>
      <c r="E52" s="157" t="s">
        <v>110</v>
      </c>
      <c r="F52" s="158"/>
      <c r="G52" s="158"/>
      <c r="H52" s="158"/>
      <c r="I52" s="158"/>
      <c r="J52" s="158"/>
      <c r="K52" s="158"/>
      <c r="L52" s="159"/>
    </row>
    <row r="53" spans="1:12" ht="24.95" customHeight="1">
      <c r="A53" s="169" t="s">
        <v>66</v>
      </c>
      <c r="B53" s="170"/>
      <c r="C53" s="170"/>
      <c r="D53" s="171"/>
      <c r="E53" s="82" t="s">
        <v>61</v>
      </c>
      <c r="F53" s="83"/>
      <c r="G53" s="80"/>
      <c r="H53" s="215">
        <f>E46-E47</f>
        <v>81000000</v>
      </c>
      <c r="I53" s="215"/>
      <c r="J53" s="215"/>
      <c r="K53" s="215"/>
      <c r="L53" s="216"/>
    </row>
    <row r="54" spans="1:12" ht="24.95" customHeight="1">
      <c r="A54" s="166"/>
      <c r="B54" s="167"/>
      <c r="C54" s="167"/>
      <c r="D54" s="168"/>
      <c r="E54" s="84" t="s">
        <v>78</v>
      </c>
      <c r="F54" s="57"/>
      <c r="G54" s="81"/>
      <c r="H54" s="57" t="s">
        <v>79</v>
      </c>
      <c r="I54" s="57"/>
      <c r="J54" s="85"/>
      <c r="K54" s="85"/>
      <c r="L54" s="86"/>
    </row>
    <row r="55" spans="1:12" ht="24.95" customHeight="1">
      <c r="A55" s="163" t="s">
        <v>67</v>
      </c>
      <c r="B55" s="164"/>
      <c r="C55" s="164"/>
      <c r="D55" s="165"/>
      <c r="E55" s="195" t="s">
        <v>122</v>
      </c>
      <c r="F55" s="197" t="s">
        <v>156</v>
      </c>
      <c r="G55" s="198"/>
      <c r="H55" s="198"/>
      <c r="I55" s="198"/>
      <c r="J55" s="198"/>
      <c r="K55" s="198"/>
      <c r="L55" s="199"/>
    </row>
    <row r="56" spans="1:12" ht="24.95" customHeight="1">
      <c r="A56" s="169"/>
      <c r="B56" s="170"/>
      <c r="C56" s="170"/>
      <c r="D56" s="171"/>
      <c r="E56" s="196"/>
      <c r="F56" s="197" t="s">
        <v>157</v>
      </c>
      <c r="G56" s="198"/>
      <c r="H56" s="200">
        <v>735</v>
      </c>
      <c r="I56" s="201"/>
      <c r="J56" s="197" t="s">
        <v>158</v>
      </c>
      <c r="K56" s="198"/>
      <c r="L56" s="105">
        <f>$F$14*1000/$H$56</f>
        <v>81.632653061224488</v>
      </c>
    </row>
    <row r="57" spans="1:12" ht="24.95" customHeight="1">
      <c r="A57" s="169"/>
      <c r="B57" s="170"/>
      <c r="C57" s="170"/>
      <c r="D57" s="171"/>
      <c r="E57" s="28" t="s">
        <v>51</v>
      </c>
      <c r="F57" s="210" t="s">
        <v>126</v>
      </c>
      <c r="G57" s="210"/>
      <c r="H57" s="210"/>
      <c r="I57" s="210"/>
      <c r="J57" s="210"/>
      <c r="K57" s="210"/>
      <c r="L57" s="211"/>
    </row>
    <row r="58" spans="1:12" ht="24.95" customHeight="1">
      <c r="A58" s="166"/>
      <c r="B58" s="167"/>
      <c r="C58" s="167"/>
      <c r="D58" s="168"/>
      <c r="E58" s="28" t="s">
        <v>118</v>
      </c>
      <c r="F58" s="139" t="s">
        <v>123</v>
      </c>
      <c r="G58" s="139"/>
      <c r="H58" s="139"/>
      <c r="I58" s="139"/>
      <c r="J58" s="139"/>
      <c r="K58" s="139"/>
      <c r="L58" s="140"/>
    </row>
    <row r="59" spans="1:12" ht="24.95" customHeight="1">
      <c r="A59" s="131" t="s">
        <v>211</v>
      </c>
      <c r="B59" s="132"/>
      <c r="C59" s="132"/>
      <c r="D59" s="133"/>
      <c r="E59" s="212" t="s">
        <v>212</v>
      </c>
      <c r="F59" s="213"/>
      <c r="G59" s="213"/>
      <c r="H59" s="213"/>
      <c r="I59" s="213"/>
      <c r="J59" s="213"/>
      <c r="K59" s="213"/>
      <c r="L59" s="214"/>
    </row>
    <row r="60" spans="1:12" ht="24.95" customHeight="1">
      <c r="A60" s="131" t="s">
        <v>213</v>
      </c>
      <c r="B60" s="132"/>
      <c r="C60" s="132"/>
      <c r="D60" s="133"/>
      <c r="E60" s="212" t="s">
        <v>214</v>
      </c>
      <c r="F60" s="213"/>
      <c r="G60" s="213"/>
      <c r="H60" s="213"/>
      <c r="I60" s="213"/>
      <c r="J60" s="213"/>
      <c r="K60" s="213"/>
      <c r="L60" s="214"/>
    </row>
    <row r="61" spans="1:12" ht="24.95" customHeight="1">
      <c r="A61" s="131" t="s">
        <v>68</v>
      </c>
      <c r="B61" s="132"/>
      <c r="C61" s="132"/>
      <c r="D61" s="133"/>
      <c r="E61" s="98"/>
      <c r="F61" s="101"/>
      <c r="G61" s="99"/>
      <c r="H61" s="99"/>
      <c r="I61" s="99"/>
      <c r="J61" s="99"/>
      <c r="K61" s="99"/>
      <c r="L61" s="100"/>
    </row>
    <row r="62" spans="1:12" ht="10.9" customHeight="1">
      <c r="A62" s="54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55"/>
    </row>
    <row r="63" spans="1:12" ht="20.100000000000001" customHeight="1">
      <c r="A63" s="192" t="s">
        <v>159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4"/>
    </row>
    <row r="64" spans="1:12" ht="20.100000000000001" customHeight="1">
      <c r="A64" s="192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4"/>
    </row>
    <row r="65" spans="1:12" ht="8.4499999999999993" customHeight="1">
      <c r="A65" s="54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55"/>
    </row>
    <row r="66" spans="1:12" ht="24.95" customHeight="1">
      <c r="A66" s="3"/>
      <c r="D66" s="154" t="s">
        <v>193</v>
      </c>
      <c r="E66" s="154"/>
      <c r="F66" s="154"/>
      <c r="G66" s="154"/>
      <c r="H66" s="154"/>
      <c r="I66" s="154"/>
      <c r="L66" s="4"/>
    </row>
    <row r="67" spans="1:12" ht="7.9" customHeight="1">
      <c r="A67" s="3"/>
      <c r="D67" s="118"/>
      <c r="E67" s="118"/>
      <c r="F67" s="118"/>
      <c r="G67" s="118"/>
      <c r="H67" s="118"/>
      <c r="I67" s="119"/>
      <c r="L67" s="4"/>
    </row>
    <row r="68" spans="1:12" ht="24.95" customHeight="1">
      <c r="A68" s="155" t="s">
        <v>85</v>
      </c>
      <c r="B68" s="156"/>
      <c r="C68" s="156"/>
      <c r="D68" s="156"/>
      <c r="E68" s="156"/>
      <c r="F68" s="156"/>
      <c r="G68" s="156"/>
      <c r="H68" s="156"/>
      <c r="I68" s="156"/>
      <c r="J68" s="156"/>
      <c r="L68" s="4"/>
    </row>
    <row r="69" spans="1:12" ht="24.95" customHeight="1">
      <c r="A69" s="126" t="s">
        <v>208</v>
      </c>
      <c r="C69" s="26" t="s">
        <v>209</v>
      </c>
      <c r="D69" s="26"/>
      <c r="E69" s="26"/>
      <c r="F69" s="26" t="s">
        <v>141</v>
      </c>
      <c r="G69" s="26"/>
      <c r="L69" s="4"/>
    </row>
    <row r="70" spans="1:12" ht="24.95" customHeight="1">
      <c r="A70" s="124"/>
      <c r="C70" s="125" t="s">
        <v>210</v>
      </c>
      <c r="D70" s="125"/>
      <c r="E70" s="125"/>
      <c r="F70" s="26" t="s">
        <v>192</v>
      </c>
      <c r="G70" s="26"/>
      <c r="L70" s="4"/>
    </row>
    <row r="71" spans="1:12" ht="4.5" customHeight="1">
      <c r="A71" s="3"/>
      <c r="L71" s="4"/>
    </row>
    <row r="72" spans="1:12" ht="30" customHeight="1">
      <c r="A72" s="232" t="s">
        <v>215</v>
      </c>
      <c r="B72" s="233"/>
      <c r="C72" s="127" t="s">
        <v>216</v>
      </c>
      <c r="D72" s="224" t="str">
        <f>$F$16</f>
        <v>컨텍코리아</v>
      </c>
      <c r="E72" s="224"/>
      <c r="F72" s="128" t="s">
        <v>164</v>
      </c>
      <c r="G72" s="225" t="str">
        <f>$F$18</f>
        <v>010-2110-7670</v>
      </c>
      <c r="H72" s="225"/>
      <c r="I72" s="226" t="s">
        <v>217</v>
      </c>
      <c r="J72" s="226"/>
      <c r="K72" s="227"/>
      <c r="L72" s="228"/>
    </row>
    <row r="73" spans="1:12" ht="27" customHeight="1">
      <c r="A73" s="234"/>
      <c r="B73" s="235"/>
      <c r="C73" s="129" t="s">
        <v>163</v>
      </c>
      <c r="D73" s="236" t="str">
        <f>$F$13</f>
        <v>화성시 석교남길 55</v>
      </c>
      <c r="E73" s="229"/>
      <c r="F73" s="229"/>
      <c r="G73" s="229"/>
      <c r="H73" s="229"/>
      <c r="I73" s="184" t="s">
        <v>218</v>
      </c>
      <c r="J73" s="184"/>
      <c r="K73" s="217" t="str">
        <f>$G$17&amp;"        (인)"</f>
        <v xml:space="preserve">        (인)</v>
      </c>
      <c r="L73" s="218"/>
    </row>
    <row r="74" spans="1:12" ht="27" customHeight="1">
      <c r="A74" s="219" t="s">
        <v>219</v>
      </c>
      <c r="B74" s="222" t="s">
        <v>220</v>
      </c>
      <c r="C74" s="127" t="s">
        <v>216</v>
      </c>
      <c r="D74" s="224" t="s">
        <v>191</v>
      </c>
      <c r="E74" s="224"/>
      <c r="F74" s="128" t="s">
        <v>164</v>
      </c>
      <c r="G74" s="225" t="s">
        <v>171</v>
      </c>
      <c r="H74" s="225"/>
      <c r="I74" s="226" t="s">
        <v>221</v>
      </c>
      <c r="J74" s="226"/>
      <c r="K74" s="227" t="s">
        <v>222</v>
      </c>
      <c r="L74" s="228"/>
    </row>
    <row r="75" spans="1:12" ht="27" customHeight="1">
      <c r="A75" s="220"/>
      <c r="B75" s="223"/>
      <c r="C75" s="129" t="s">
        <v>163</v>
      </c>
      <c r="D75" s="229" t="s">
        <v>223</v>
      </c>
      <c r="E75" s="229"/>
      <c r="F75" s="229"/>
      <c r="G75" s="229"/>
      <c r="H75" s="229"/>
      <c r="I75" s="184" t="s">
        <v>224</v>
      </c>
      <c r="J75" s="184"/>
      <c r="K75" s="230" t="s">
        <v>225</v>
      </c>
      <c r="L75" s="231"/>
    </row>
    <row r="76" spans="1:12" ht="27" customHeight="1">
      <c r="A76" s="220"/>
      <c r="B76" s="222" t="s">
        <v>226</v>
      </c>
      <c r="C76" s="127" t="s">
        <v>216</v>
      </c>
      <c r="D76" s="224" t="s">
        <v>192</v>
      </c>
      <c r="E76" s="224"/>
      <c r="F76" s="128" t="s">
        <v>164</v>
      </c>
      <c r="G76" s="225" t="s">
        <v>227</v>
      </c>
      <c r="H76" s="225"/>
      <c r="I76" s="226" t="s">
        <v>221</v>
      </c>
      <c r="J76" s="226"/>
      <c r="K76" s="227" t="s">
        <v>222</v>
      </c>
      <c r="L76" s="228"/>
    </row>
    <row r="77" spans="1:12" ht="27" customHeight="1">
      <c r="A77" s="221"/>
      <c r="B77" s="223"/>
      <c r="C77" s="129" t="s">
        <v>163</v>
      </c>
      <c r="D77" s="229" t="s">
        <v>228</v>
      </c>
      <c r="E77" s="229"/>
      <c r="F77" s="229"/>
      <c r="G77" s="229"/>
      <c r="H77" s="229"/>
      <c r="I77" s="184" t="s">
        <v>224</v>
      </c>
      <c r="J77" s="184"/>
      <c r="K77" s="230" t="s">
        <v>229</v>
      </c>
      <c r="L77" s="231"/>
    </row>
    <row r="78" spans="1:12" ht="33.75" customHeight="1">
      <c r="A78" s="186" t="s">
        <v>32</v>
      </c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</row>
    <row r="79" spans="1:12" ht="6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</row>
    <row r="80" spans="1:12" ht="17.649999999999999" customHeight="1">
      <c r="A80" s="187" t="s">
        <v>95</v>
      </c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</row>
    <row r="81" spans="1:13" ht="17.649999999999999" customHeight="1">
      <c r="A81" s="188" t="s">
        <v>161</v>
      </c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49"/>
    </row>
    <row r="82" spans="1:13" ht="17.649999999999999" customHeight="1">
      <c r="A82" s="188"/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49"/>
    </row>
    <row r="83" spans="1:13" ht="4.9000000000000004" customHeight="1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49"/>
    </row>
    <row r="84" spans="1:13" ht="17.649999999999999" customHeight="1">
      <c r="A84" s="187" t="s">
        <v>86</v>
      </c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</row>
    <row r="85" spans="1:13" ht="17.649999999999999" customHeight="1">
      <c r="A85" s="188" t="s">
        <v>96</v>
      </c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</row>
    <row r="86" spans="1:13" ht="17.649999999999999" customHeight="1">
      <c r="A86" s="188" t="s">
        <v>189</v>
      </c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</row>
    <row r="87" spans="1:13" ht="17.649999999999999" customHeight="1">
      <c r="A87" s="149" t="s">
        <v>147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26"/>
    </row>
    <row r="88" spans="1:13" ht="17.649999999999999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</row>
    <row r="89" spans="1:13" ht="17.649999999999999" customHeight="1">
      <c r="A89" s="149" t="s">
        <v>168</v>
      </c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</row>
    <row r="90" spans="1:13" ht="17.649999999999999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</row>
    <row r="91" spans="1:13" ht="17.649999999999999" customHeight="1">
      <c r="A91" s="149" t="s">
        <v>148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</row>
    <row r="92" spans="1:13" ht="17.649999999999999" customHeight="1">
      <c r="A92" s="149" t="s">
        <v>149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</row>
    <row r="93" spans="1:13" ht="3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3" ht="17.649999999999999" customHeight="1">
      <c r="A94" s="148" t="s">
        <v>87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</row>
    <row r="95" spans="1:13" ht="17.649999999999999" customHeight="1">
      <c r="A95" s="149" t="s">
        <v>142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</row>
    <row r="96" spans="1:13" ht="17.649999999999999" customHeight="1">
      <c r="A96" s="149" t="s">
        <v>169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</row>
    <row r="97" spans="1:12" ht="17.649999999999999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</row>
    <row r="98" spans="1:12" ht="17.649999999999999" customHeight="1">
      <c r="A98" s="149" t="s">
        <v>190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</row>
    <row r="99" spans="1:12" ht="17.649999999999999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</row>
    <row r="100" spans="1:12" ht="17.649999999999999" customHeight="1">
      <c r="A100" s="148" t="s">
        <v>143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</row>
    <row r="101" spans="1:12" ht="17.649999999999999" customHeight="1">
      <c r="A101" s="149" t="s">
        <v>144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</row>
    <row r="102" spans="1:12" ht="17.649999999999999" customHeight="1">
      <c r="A102" s="148" t="s">
        <v>88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</row>
    <row r="103" spans="1:12" ht="17.649999999999999" customHeight="1">
      <c r="A103" s="149" t="s">
        <v>165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</row>
    <row r="104" spans="1:12" ht="17.649999999999999" customHeight="1">
      <c r="A104" s="148" t="s">
        <v>89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</row>
    <row r="105" spans="1:12" ht="17.649999999999999" customHeight="1">
      <c r="A105" s="149" t="s">
        <v>162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</row>
    <row r="106" spans="1:12" ht="17.649999999999999" customHeight="1">
      <c r="A106" s="149" t="s">
        <v>145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</row>
    <row r="107" spans="1:12" ht="17.649999999999999" customHeight="1">
      <c r="A107" s="148" t="s">
        <v>90</v>
      </c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</row>
    <row r="108" spans="1:12" ht="17.649999999999999" customHeight="1">
      <c r="A108" s="149" t="s">
        <v>166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</row>
    <row r="109" spans="1:12" ht="17.649999999999999" customHeight="1">
      <c r="A109" s="148" t="s">
        <v>91</v>
      </c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</row>
    <row r="110" spans="1:12" ht="17.649999999999999" customHeight="1">
      <c r="A110" s="149" t="s">
        <v>146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</row>
    <row r="111" spans="1:12" ht="17.649999999999999" customHeight="1">
      <c r="A111" s="148" t="s">
        <v>92</v>
      </c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</row>
    <row r="112" spans="1:12" s="58" customFormat="1" ht="17.649999999999999" customHeight="1">
      <c r="A112" s="149" t="s">
        <v>183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</row>
    <row r="113" spans="1:15" s="58" customFormat="1" ht="17.649999999999999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</row>
    <row r="114" spans="1:15" ht="17.649999999999999" customHeight="1">
      <c r="A114" s="148" t="s">
        <v>93</v>
      </c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</row>
    <row r="115" spans="1:15" ht="17.649999999999999" customHeight="1">
      <c r="A115" s="149" t="s">
        <v>170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O115" s="27"/>
    </row>
    <row r="116" spans="1:15" ht="17.649999999999999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O116" s="27"/>
    </row>
    <row r="117" spans="1:15" ht="17.649999999999999" customHeight="1">
      <c r="A117" s="148" t="s">
        <v>94</v>
      </c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</row>
    <row r="118" spans="1:15">
      <c r="A118" s="185" t="s">
        <v>194</v>
      </c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</row>
    <row r="119" spans="1:15" ht="17.649999999999999" customHeight="1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</row>
  </sheetData>
  <mergeCells count="127">
    <mergeCell ref="E20:J20"/>
    <mergeCell ref="B13:E13"/>
    <mergeCell ref="B14:E14"/>
    <mergeCell ref="B15:E15"/>
    <mergeCell ref="B16:E16"/>
    <mergeCell ref="B17:E17"/>
    <mergeCell ref="B18:E18"/>
    <mergeCell ref="B19:E19"/>
    <mergeCell ref="F13:K13"/>
    <mergeCell ref="F14:K14"/>
    <mergeCell ref="F15:K15"/>
    <mergeCell ref="F16:K16"/>
    <mergeCell ref="F17:K17"/>
    <mergeCell ref="F18:K18"/>
    <mergeCell ref="F19:K19"/>
    <mergeCell ref="K73:L73"/>
    <mergeCell ref="A74:A77"/>
    <mergeCell ref="B74:B75"/>
    <mergeCell ref="D74:E74"/>
    <mergeCell ref="G74:H74"/>
    <mergeCell ref="I74:J74"/>
    <mergeCell ref="K74:L74"/>
    <mergeCell ref="D75:H75"/>
    <mergeCell ref="I75:J75"/>
    <mergeCell ref="K75:L75"/>
    <mergeCell ref="B76:B77"/>
    <mergeCell ref="D76:E76"/>
    <mergeCell ref="G76:H76"/>
    <mergeCell ref="I76:J76"/>
    <mergeCell ref="K76:L76"/>
    <mergeCell ref="D77:H77"/>
    <mergeCell ref="I77:J77"/>
    <mergeCell ref="K77:L77"/>
    <mergeCell ref="A72:B73"/>
    <mergeCell ref="D72:E72"/>
    <mergeCell ref="G72:H72"/>
    <mergeCell ref="I72:J72"/>
    <mergeCell ref="K72:L72"/>
    <mergeCell ref="D73:H73"/>
    <mergeCell ref="B7:K7"/>
    <mergeCell ref="A10:L10"/>
    <mergeCell ref="E50:L50"/>
    <mergeCell ref="A63:L64"/>
    <mergeCell ref="E55:E56"/>
    <mergeCell ref="F55:L55"/>
    <mergeCell ref="F56:G56"/>
    <mergeCell ref="H56:I56"/>
    <mergeCell ref="J56:K56"/>
    <mergeCell ref="A41:D41"/>
    <mergeCell ref="E43:L43"/>
    <mergeCell ref="E41:H41"/>
    <mergeCell ref="E48:L48"/>
    <mergeCell ref="A48:D48"/>
    <mergeCell ref="A8:L8"/>
    <mergeCell ref="A9:L9"/>
    <mergeCell ref="A55:D58"/>
    <mergeCell ref="F57:L57"/>
    <mergeCell ref="F58:L58"/>
    <mergeCell ref="A59:D59"/>
    <mergeCell ref="E59:L59"/>
    <mergeCell ref="A60:D60"/>
    <mergeCell ref="E60:L60"/>
    <mergeCell ref="H53:L53"/>
    <mergeCell ref="I73:J73"/>
    <mergeCell ref="A118:L119"/>
    <mergeCell ref="A114:L114"/>
    <mergeCell ref="A117:L117"/>
    <mergeCell ref="A112:L113"/>
    <mergeCell ref="A115:L116"/>
    <mergeCell ref="A109:L109"/>
    <mergeCell ref="A110:L110"/>
    <mergeCell ref="A111:L111"/>
    <mergeCell ref="A78:L78"/>
    <mergeCell ref="A87:L88"/>
    <mergeCell ref="A89:L90"/>
    <mergeCell ref="A80:L80"/>
    <mergeCell ref="A84:L84"/>
    <mergeCell ref="A91:L91"/>
    <mergeCell ref="A92:L92"/>
    <mergeCell ref="A96:L97"/>
    <mergeCell ref="A105:L105"/>
    <mergeCell ref="A106:L106"/>
    <mergeCell ref="A85:L85"/>
    <mergeCell ref="A81:L82"/>
    <mergeCell ref="A86:L86"/>
    <mergeCell ref="A108:L108"/>
    <mergeCell ref="A104:L104"/>
    <mergeCell ref="A107:L107"/>
    <mergeCell ref="A100:L100"/>
    <mergeCell ref="A101:L101"/>
    <mergeCell ref="A102:L102"/>
    <mergeCell ref="A103:L103"/>
    <mergeCell ref="A98:L99"/>
    <mergeCell ref="A94:L94"/>
    <mergeCell ref="A95:L95"/>
    <mergeCell ref="A3:L4"/>
    <mergeCell ref="B6:J6"/>
    <mergeCell ref="B11:J11"/>
    <mergeCell ref="D66:I66"/>
    <mergeCell ref="A68:J68"/>
    <mergeCell ref="E52:L52"/>
    <mergeCell ref="E51:L51"/>
    <mergeCell ref="A51:D52"/>
    <mergeCell ref="A53:D54"/>
    <mergeCell ref="A50:D50"/>
    <mergeCell ref="A47:D47"/>
    <mergeCell ref="A22:L23"/>
    <mergeCell ref="A24:L25"/>
    <mergeCell ref="A49:D49"/>
    <mergeCell ref="E49:L49"/>
    <mergeCell ref="A44:D46"/>
    <mergeCell ref="A61:D61"/>
    <mergeCell ref="A40:L40"/>
    <mergeCell ref="A43:D43"/>
    <mergeCell ref="A42:D42"/>
    <mergeCell ref="E42:L42"/>
    <mergeCell ref="I41:L41"/>
    <mergeCell ref="E44:G44"/>
    <mergeCell ref="E45:F45"/>
    <mergeCell ref="E46:F46"/>
    <mergeCell ref="E47:F47"/>
    <mergeCell ref="H44:L44"/>
    <mergeCell ref="H45:J45"/>
    <mergeCell ref="H46:J46"/>
    <mergeCell ref="H47:L47"/>
    <mergeCell ref="K45:L45"/>
    <mergeCell ref="K46:L46"/>
  </mergeCells>
  <phoneticPr fontId="15" type="noConversion"/>
  <pageMargins left="0.70866141732283472" right="0.70866141732283472" top="0.74803149606299213" bottom="0.39370078740157483" header="0.31496062992125984" footer="0.31496062992125984"/>
  <pageSetup paperSize="9" scale="76" fitToHeight="0" orientation="portrait" r:id="rId1"/>
  <rowBreaks count="2" manualBreakCount="2">
    <brk id="29" max="10" man="1"/>
    <brk id="77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60</xdr:row>
                    <xdr:rowOff>19050</xdr:rowOff>
                  </from>
                  <to>
                    <xdr:col>5</xdr:col>
                    <xdr:colOff>333375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161925</xdr:colOff>
                    <xdr:row>60</xdr:row>
                    <xdr:rowOff>9525</xdr:rowOff>
                  </from>
                  <to>
                    <xdr:col>10</xdr:col>
                    <xdr:colOff>209550</xdr:colOff>
                    <xdr:row>60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FE2A-45DC-42B3-ADE7-D888CB679B7B}">
  <sheetPr>
    <tabColor rgb="FFFFFF00"/>
  </sheetPr>
  <dimension ref="A1:J41"/>
  <sheetViews>
    <sheetView view="pageBreakPreview" topLeftCell="A4" zoomScaleNormal="100" zoomScaleSheetLayoutView="100" workbookViewId="0">
      <selection activeCell="A11" sqref="A11:B11"/>
    </sheetView>
  </sheetViews>
  <sheetFormatPr defaultRowHeight="16.5"/>
  <cols>
    <col min="1" max="1" width="8.875" customWidth="1"/>
    <col min="2" max="2" width="21.125" customWidth="1"/>
    <col min="5" max="5" width="9.875" bestFit="1" customWidth="1"/>
    <col min="6" max="6" width="14.75" customWidth="1"/>
    <col min="7" max="7" width="10.875" style="71" customWidth="1"/>
  </cols>
  <sheetData>
    <row r="1" spans="1:10" ht="39">
      <c r="A1" s="15"/>
      <c r="B1" s="15"/>
      <c r="C1" s="15"/>
      <c r="D1" s="15"/>
      <c r="E1" s="15"/>
      <c r="F1" s="15"/>
    </row>
    <row r="2" spans="1:10" ht="16.5" customHeight="1">
      <c r="A2" s="279" t="s">
        <v>76</v>
      </c>
      <c r="B2" s="279"/>
      <c r="C2" s="279"/>
      <c r="D2" s="279"/>
      <c r="E2" s="279"/>
      <c r="F2" s="279"/>
      <c r="G2" s="279"/>
    </row>
    <row r="3" spans="1:10" ht="16.5" customHeight="1">
      <c r="A3" s="279"/>
      <c r="B3" s="279"/>
      <c r="C3" s="279"/>
      <c r="D3" s="279"/>
      <c r="E3" s="279"/>
      <c r="F3" s="279"/>
      <c r="G3" s="279"/>
    </row>
    <row r="4" spans="1:10" ht="19.5" customHeight="1"/>
    <row r="5" spans="1:10" ht="17.25" thickBot="1"/>
    <row r="6" spans="1:10" ht="19.5" customHeight="1">
      <c r="A6" s="37" t="s">
        <v>72</v>
      </c>
      <c r="B6" s="38">
        <f ca="1">TODAY()</f>
        <v>46136</v>
      </c>
      <c r="D6" s="34" t="s">
        <v>13</v>
      </c>
      <c r="E6" s="280" t="str">
        <f>계약서!B76</f>
        <v>(병)</v>
      </c>
      <c r="F6" s="281"/>
      <c r="G6" s="282"/>
    </row>
    <row r="7" spans="1:10" ht="19.5" customHeight="1">
      <c r="A7" s="32" t="s">
        <v>25</v>
      </c>
      <c r="B7" s="39">
        <f>계약서!F14</f>
        <v>60</v>
      </c>
      <c r="D7" s="35" t="s">
        <v>74</v>
      </c>
      <c r="E7" s="283" t="s">
        <v>154</v>
      </c>
      <c r="F7" s="284"/>
      <c r="G7" s="285"/>
    </row>
    <row r="8" spans="1:10" ht="19.5" customHeight="1">
      <c r="A8" s="40" t="s">
        <v>73</v>
      </c>
      <c r="B8" s="41" t="str">
        <f>계약서!F16</f>
        <v>컨텍코리아</v>
      </c>
      <c r="D8" s="35" t="s">
        <v>14</v>
      </c>
      <c r="E8" s="104" t="s">
        <v>153</v>
      </c>
      <c r="F8" s="286" t="s">
        <v>58</v>
      </c>
      <c r="G8" s="287"/>
    </row>
    <row r="9" spans="1:10" ht="17.25" thickBot="1">
      <c r="A9" s="42"/>
      <c r="B9" s="5"/>
      <c r="D9" s="35" t="s">
        <v>75</v>
      </c>
      <c r="E9" s="288" t="s">
        <v>160</v>
      </c>
      <c r="F9" s="289"/>
      <c r="G9" s="290"/>
    </row>
    <row r="10" spans="1:10" ht="19.5" customHeight="1">
      <c r="D10" s="35" t="s">
        <v>7</v>
      </c>
      <c r="E10" s="291" t="s">
        <v>181</v>
      </c>
      <c r="F10" s="292"/>
      <c r="G10" s="293"/>
    </row>
    <row r="11" spans="1:10" ht="17.25" thickBot="1">
      <c r="A11" s="294" t="s">
        <v>77</v>
      </c>
      <c r="B11" s="295"/>
      <c r="D11" s="36" t="s">
        <v>33</v>
      </c>
      <c r="E11" s="296" t="s">
        <v>100</v>
      </c>
      <c r="F11" s="297"/>
      <c r="G11" s="298"/>
    </row>
    <row r="12" spans="1:10" ht="17.25" thickBot="1"/>
    <row r="13" spans="1:10" ht="19.5" customHeight="1">
      <c r="A13" s="299" t="s">
        <v>111</v>
      </c>
      <c r="B13" s="300"/>
      <c r="C13" s="300"/>
      <c r="D13" s="300"/>
      <c r="E13" s="300"/>
      <c r="F13" s="300"/>
      <c r="G13" s="301"/>
    </row>
    <row r="14" spans="1:10" ht="19.5" customHeight="1">
      <c r="A14" s="29" t="s">
        <v>71</v>
      </c>
      <c r="B14" s="302" t="str">
        <f>"일금"&amp;NUMBERSTRING(ROUNDDOWN(F30,-5),1)&amp;"원정(십만단위절사)"</f>
        <v>일금팔천사백만원정(십만단위절사)</v>
      </c>
      <c r="C14" s="302"/>
      <c r="D14" s="302"/>
      <c r="E14" s="303"/>
      <c r="F14" s="304">
        <f>F30</f>
        <v>84000000</v>
      </c>
      <c r="G14" s="305"/>
      <c r="I14" s="10" t="s">
        <v>15</v>
      </c>
      <c r="J14" s="10">
        <f>계약서!F15</f>
        <v>1400000</v>
      </c>
    </row>
    <row r="15" spans="1:10" ht="17.25" thickBot="1">
      <c r="A15" s="30" t="s">
        <v>48</v>
      </c>
      <c r="B15" s="14" t="s">
        <v>45</v>
      </c>
      <c r="C15" s="13" t="s">
        <v>41</v>
      </c>
      <c r="D15" s="13" t="s">
        <v>39</v>
      </c>
      <c r="E15" s="13" t="s">
        <v>36</v>
      </c>
      <c r="F15" s="13" t="s">
        <v>10</v>
      </c>
      <c r="G15" s="87" t="s">
        <v>34</v>
      </c>
      <c r="I15" t="s">
        <v>31</v>
      </c>
    </row>
    <row r="16" spans="1:10" ht="19.5" customHeight="1" thickTop="1">
      <c r="A16" s="31">
        <v>1</v>
      </c>
      <c r="B16" s="12" t="s">
        <v>29</v>
      </c>
      <c r="C16" s="50" t="s">
        <v>98</v>
      </c>
      <c r="D16" s="21">
        <f>계약서!F14</f>
        <v>60</v>
      </c>
      <c r="E16" s="11">
        <f>$J$14*I16</f>
        <v>238000.00000000003</v>
      </c>
      <c r="F16" s="11">
        <f t="shared" ref="F16:F29" si="0">D16*E16</f>
        <v>14280000.000000002</v>
      </c>
      <c r="G16" s="72"/>
      <c r="I16" s="58">
        <v>0.17</v>
      </c>
    </row>
    <row r="17" spans="1:9" ht="19.5" customHeight="1">
      <c r="A17" s="32">
        <v>2</v>
      </c>
      <c r="B17" s="10" t="s">
        <v>51</v>
      </c>
      <c r="C17" s="1" t="s">
        <v>99</v>
      </c>
      <c r="D17" s="21">
        <f>+$D$16</f>
        <v>60</v>
      </c>
      <c r="E17" s="9">
        <f t="shared" ref="E17:E29" si="1">$J$14*I17</f>
        <v>84000</v>
      </c>
      <c r="F17" s="9">
        <f t="shared" si="0"/>
        <v>5040000</v>
      </c>
      <c r="G17" s="73"/>
      <c r="I17">
        <v>0.06</v>
      </c>
    </row>
    <row r="18" spans="1:9" ht="19.5" customHeight="1">
      <c r="A18" s="32">
        <v>3</v>
      </c>
      <c r="B18" s="48" t="s">
        <v>82</v>
      </c>
      <c r="C18" s="1" t="s">
        <v>99</v>
      </c>
      <c r="D18" s="21">
        <f t="shared" ref="D18:D29" si="2">+$D$16</f>
        <v>60</v>
      </c>
      <c r="E18" s="9">
        <f t="shared" si="1"/>
        <v>168000</v>
      </c>
      <c r="F18" s="9">
        <f t="shared" si="0"/>
        <v>10080000</v>
      </c>
      <c r="G18" s="73"/>
      <c r="I18" s="58">
        <v>0.12</v>
      </c>
    </row>
    <row r="19" spans="1:9" ht="19.5" customHeight="1">
      <c r="A19" s="32">
        <v>4</v>
      </c>
      <c r="B19" s="10" t="s">
        <v>5</v>
      </c>
      <c r="C19" s="1" t="s">
        <v>99</v>
      </c>
      <c r="D19" s="21">
        <f t="shared" si="2"/>
        <v>60</v>
      </c>
      <c r="E19" s="9">
        <f t="shared" si="1"/>
        <v>126000</v>
      </c>
      <c r="F19" s="9">
        <f t="shared" si="0"/>
        <v>7560000</v>
      </c>
      <c r="G19" s="73"/>
      <c r="I19" s="51">
        <v>0.09</v>
      </c>
    </row>
    <row r="20" spans="1:9" ht="19.5" customHeight="1">
      <c r="A20" s="32">
        <v>5</v>
      </c>
      <c r="B20" s="10" t="s">
        <v>12</v>
      </c>
      <c r="C20" s="1" t="s">
        <v>99</v>
      </c>
      <c r="D20" s="21">
        <f t="shared" si="2"/>
        <v>60</v>
      </c>
      <c r="E20" s="9">
        <f t="shared" si="1"/>
        <v>210000</v>
      </c>
      <c r="F20" s="9">
        <f t="shared" si="0"/>
        <v>12600000</v>
      </c>
      <c r="G20" s="73"/>
      <c r="I20" s="59">
        <v>0.15</v>
      </c>
    </row>
    <row r="21" spans="1:9" ht="19.5" customHeight="1">
      <c r="A21" s="32">
        <v>6</v>
      </c>
      <c r="B21" s="48" t="s">
        <v>81</v>
      </c>
      <c r="C21" s="1" t="s">
        <v>99</v>
      </c>
      <c r="D21" s="21">
        <f t="shared" si="2"/>
        <v>60</v>
      </c>
      <c r="E21" s="9">
        <f t="shared" si="1"/>
        <v>28000</v>
      </c>
      <c r="F21" s="9">
        <f t="shared" si="0"/>
        <v>1680000</v>
      </c>
      <c r="G21" s="73"/>
      <c r="I21">
        <v>0.02</v>
      </c>
    </row>
    <row r="22" spans="1:9" ht="19.5" customHeight="1">
      <c r="A22" s="32">
        <v>7</v>
      </c>
      <c r="B22" s="48" t="s">
        <v>83</v>
      </c>
      <c r="C22" s="1" t="s">
        <v>99</v>
      </c>
      <c r="D22" s="21">
        <f t="shared" si="2"/>
        <v>60</v>
      </c>
      <c r="E22" s="9">
        <f t="shared" si="1"/>
        <v>84000</v>
      </c>
      <c r="F22" s="9">
        <f t="shared" si="0"/>
        <v>5040000</v>
      </c>
      <c r="G22" s="73"/>
      <c r="I22">
        <v>0.06</v>
      </c>
    </row>
    <row r="23" spans="1:9" ht="19.5" customHeight="1">
      <c r="A23" s="32">
        <v>8</v>
      </c>
      <c r="B23" s="48" t="s">
        <v>84</v>
      </c>
      <c r="C23" s="1" t="s">
        <v>99</v>
      </c>
      <c r="D23" s="21">
        <f t="shared" si="2"/>
        <v>60</v>
      </c>
      <c r="E23" s="9">
        <f t="shared" si="1"/>
        <v>98000.000000000015</v>
      </c>
      <c r="F23" s="9">
        <f t="shared" si="0"/>
        <v>5880000.0000000009</v>
      </c>
      <c r="G23" s="73"/>
      <c r="I23">
        <v>7.0000000000000007E-2</v>
      </c>
    </row>
    <row r="24" spans="1:9" ht="19.5" customHeight="1">
      <c r="A24" s="32">
        <v>9</v>
      </c>
      <c r="B24" s="10" t="s">
        <v>52</v>
      </c>
      <c r="C24" s="1" t="s">
        <v>99</v>
      </c>
      <c r="D24" s="21">
        <f t="shared" si="2"/>
        <v>60</v>
      </c>
      <c r="E24" s="9">
        <f t="shared" si="1"/>
        <v>42000</v>
      </c>
      <c r="F24" s="9">
        <f t="shared" si="0"/>
        <v>2520000</v>
      </c>
      <c r="G24" s="73"/>
      <c r="I24">
        <v>0.03</v>
      </c>
    </row>
    <row r="25" spans="1:9" ht="19.5" customHeight="1">
      <c r="A25" s="32">
        <v>10</v>
      </c>
      <c r="B25" s="48" t="s">
        <v>97</v>
      </c>
      <c r="C25" s="1" t="s">
        <v>99</v>
      </c>
      <c r="D25" s="21">
        <f t="shared" si="2"/>
        <v>60</v>
      </c>
      <c r="E25" s="9">
        <f t="shared" si="1"/>
        <v>70000</v>
      </c>
      <c r="F25" s="9">
        <f t="shared" si="0"/>
        <v>4200000</v>
      </c>
      <c r="G25" s="73"/>
      <c r="I25">
        <v>0.05</v>
      </c>
    </row>
    <row r="26" spans="1:9" ht="19.5" customHeight="1">
      <c r="A26" s="32">
        <v>11</v>
      </c>
      <c r="B26" s="48" t="s">
        <v>120</v>
      </c>
      <c r="C26" s="1" t="s">
        <v>99</v>
      </c>
      <c r="D26" s="21">
        <f t="shared" si="2"/>
        <v>60</v>
      </c>
      <c r="E26" s="9">
        <f t="shared" si="1"/>
        <v>42000</v>
      </c>
      <c r="F26" s="9">
        <f t="shared" si="0"/>
        <v>2520000</v>
      </c>
      <c r="G26" s="73"/>
      <c r="I26">
        <v>0.03</v>
      </c>
    </row>
    <row r="27" spans="1:9" ht="19.5" customHeight="1">
      <c r="A27" s="32">
        <v>12</v>
      </c>
      <c r="B27" s="48" t="s">
        <v>127</v>
      </c>
      <c r="C27" s="1" t="s">
        <v>99</v>
      </c>
      <c r="D27" s="21">
        <f t="shared" si="2"/>
        <v>60</v>
      </c>
      <c r="E27" s="9">
        <f t="shared" si="1"/>
        <v>28000</v>
      </c>
      <c r="F27" s="9">
        <f t="shared" si="0"/>
        <v>1680000</v>
      </c>
      <c r="G27" s="73"/>
      <c r="I27">
        <v>0.02</v>
      </c>
    </row>
    <row r="28" spans="1:9" ht="19.5" customHeight="1">
      <c r="A28" s="92">
        <v>13</v>
      </c>
      <c r="B28" s="93" t="s">
        <v>119</v>
      </c>
      <c r="C28" s="94" t="s">
        <v>99</v>
      </c>
      <c r="D28" s="95">
        <f t="shared" si="2"/>
        <v>60</v>
      </c>
      <c r="E28" s="96"/>
      <c r="F28" s="96">
        <f t="shared" si="0"/>
        <v>0</v>
      </c>
      <c r="G28" s="74"/>
      <c r="I28" s="58">
        <v>0.09</v>
      </c>
    </row>
    <row r="29" spans="1:9" ht="19.5" customHeight="1">
      <c r="A29" s="32">
        <v>14</v>
      </c>
      <c r="B29" s="22" t="s">
        <v>55</v>
      </c>
      <c r="C29" s="23" t="s">
        <v>99</v>
      </c>
      <c r="D29" s="24">
        <f t="shared" si="2"/>
        <v>60</v>
      </c>
      <c r="E29" s="25">
        <f t="shared" si="1"/>
        <v>182000</v>
      </c>
      <c r="F29" s="25">
        <f t="shared" si="0"/>
        <v>10920000</v>
      </c>
      <c r="G29" s="74"/>
      <c r="I29">
        <v>0.13</v>
      </c>
    </row>
    <row r="30" spans="1:9" ht="17.25" thickBot="1">
      <c r="A30" s="33"/>
      <c r="B30" s="8" t="s">
        <v>54</v>
      </c>
      <c r="C30" s="8"/>
      <c r="D30" s="8"/>
      <c r="E30" s="7"/>
      <c r="F30" s="6">
        <f>SUM(F16:F29)</f>
        <v>84000000</v>
      </c>
      <c r="G30" s="75"/>
      <c r="I30">
        <f>SUM(I16:I29)</f>
        <v>1.0900000000000001</v>
      </c>
    </row>
    <row r="31" spans="1:9" ht="19.5" customHeight="1">
      <c r="A31" s="43"/>
      <c r="G31" s="76"/>
    </row>
    <row r="32" spans="1:9" ht="19.5" customHeight="1">
      <c r="A32" s="44" t="s">
        <v>0</v>
      </c>
      <c r="B32" s="45"/>
      <c r="C32" s="45"/>
      <c r="D32" s="45"/>
      <c r="E32" s="45"/>
      <c r="G32" s="76"/>
    </row>
    <row r="33" spans="1:7" ht="19.5" customHeight="1">
      <c r="A33" s="44"/>
      <c r="B33" s="45"/>
      <c r="C33" s="45"/>
      <c r="D33" s="45"/>
      <c r="E33" s="45"/>
      <c r="G33" s="76"/>
    </row>
    <row r="34" spans="1:7" ht="19.5" customHeight="1">
      <c r="A34" s="43"/>
      <c r="G34" s="76"/>
    </row>
    <row r="35" spans="1:7" ht="16.5" customHeight="1">
      <c r="A35" s="270" t="s">
        <v>185</v>
      </c>
      <c r="B35" s="271"/>
      <c r="C35" s="271"/>
      <c r="D35" s="271"/>
      <c r="E35" s="271"/>
      <c r="F35" s="271"/>
      <c r="G35" s="272"/>
    </row>
    <row r="36" spans="1:7">
      <c r="A36" s="273"/>
      <c r="B36" s="274"/>
      <c r="C36" s="274"/>
      <c r="D36" s="274"/>
      <c r="E36" s="274"/>
      <c r="F36" s="274"/>
      <c r="G36" s="275"/>
    </row>
    <row r="37" spans="1:7">
      <c r="A37" s="273"/>
      <c r="B37" s="274"/>
      <c r="C37" s="274"/>
      <c r="D37" s="274"/>
      <c r="E37" s="274"/>
      <c r="F37" s="274"/>
      <c r="G37" s="275"/>
    </row>
    <row r="38" spans="1:7">
      <c r="A38" s="273"/>
      <c r="B38" s="274"/>
      <c r="C38" s="274"/>
      <c r="D38" s="274"/>
      <c r="E38" s="274"/>
      <c r="F38" s="274"/>
      <c r="G38" s="275"/>
    </row>
    <row r="39" spans="1:7">
      <c r="A39" s="273"/>
      <c r="B39" s="274"/>
      <c r="C39" s="274"/>
      <c r="D39" s="274"/>
      <c r="E39" s="274"/>
      <c r="F39" s="274"/>
      <c r="G39" s="275"/>
    </row>
    <row r="40" spans="1:7">
      <c r="A40" s="273"/>
      <c r="B40" s="274"/>
      <c r="C40" s="274"/>
      <c r="D40" s="274"/>
      <c r="E40" s="274"/>
      <c r="F40" s="274"/>
      <c r="G40" s="275"/>
    </row>
    <row r="41" spans="1:7" ht="17.25" thickBot="1">
      <c r="A41" s="276"/>
      <c r="B41" s="277"/>
      <c r="C41" s="277"/>
      <c r="D41" s="277"/>
      <c r="E41" s="277"/>
      <c r="F41" s="277"/>
      <c r="G41" s="278"/>
    </row>
  </sheetData>
  <mergeCells count="12">
    <mergeCell ref="A35:G41"/>
    <mergeCell ref="A2:G3"/>
    <mergeCell ref="E6:G6"/>
    <mergeCell ref="E7:G7"/>
    <mergeCell ref="F8:G8"/>
    <mergeCell ref="E9:G9"/>
    <mergeCell ref="E10:G10"/>
    <mergeCell ref="A11:B11"/>
    <mergeCell ref="E11:G11"/>
    <mergeCell ref="A13:G13"/>
    <mergeCell ref="B14:E14"/>
    <mergeCell ref="F14:G14"/>
  </mergeCells>
  <phoneticPr fontId="15" type="noConversion"/>
  <hyperlinks>
    <hyperlink ref="E10" r:id="rId1" xr:uid="{6666FFEE-0BD5-49DA-8585-B2D7F35ACE3D}"/>
  </hyperlinks>
  <pageMargins left="0.7" right="0.7" top="0.75" bottom="0.75" header="0.3" footer="0.3"/>
  <pageSetup paperSize="9" scale="9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U31"/>
  <sheetViews>
    <sheetView view="pageBreakPreview" zoomScaleNormal="100" zoomScaleSheetLayoutView="100" workbookViewId="0">
      <selection activeCell="I8" sqref="I8"/>
    </sheetView>
  </sheetViews>
  <sheetFormatPr defaultRowHeight="16.5"/>
  <cols>
    <col min="1" max="1" width="0.25" customWidth="1"/>
    <col min="2" max="3" width="11" customWidth="1"/>
    <col min="4" max="4" width="9.875" customWidth="1"/>
    <col min="5" max="5" width="11" customWidth="1"/>
    <col min="6" max="6" width="9.875" customWidth="1"/>
    <col min="7" max="7" width="11.5" customWidth="1"/>
    <col min="8" max="9" width="9.875" customWidth="1"/>
    <col min="10" max="13" width="9.625" customWidth="1"/>
    <col min="14" max="14" width="0.125" hidden="1" customWidth="1"/>
    <col min="15" max="15" width="7.25" customWidth="1"/>
    <col min="16" max="21" width="0" hidden="1" customWidth="1"/>
    <col min="27" max="27" width="9.375" bestFit="1" customWidth="1"/>
  </cols>
  <sheetData>
    <row r="1" spans="2:21" ht="16.5" customHeight="1">
      <c r="B1" s="335" t="s">
        <v>125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</row>
    <row r="2" spans="2:21" ht="16.5" customHeight="1"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2:21" ht="27" customHeight="1"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2:21" ht="17.25" thickBot="1">
      <c r="B4" s="348" t="s">
        <v>172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</row>
    <row r="5" spans="2:21">
      <c r="B5" s="336" t="s">
        <v>23</v>
      </c>
      <c r="C5" s="337"/>
      <c r="D5" s="337"/>
      <c r="E5" s="337"/>
      <c r="F5" s="66">
        <f>+계약서!F14</f>
        <v>60</v>
      </c>
      <c r="G5" s="67"/>
      <c r="H5" s="67"/>
      <c r="I5" s="67"/>
      <c r="J5" s="327"/>
      <c r="K5" s="327"/>
      <c r="L5" s="327"/>
      <c r="M5" s="328"/>
    </row>
    <row r="6" spans="2:21">
      <c r="B6" s="343" t="s">
        <v>124</v>
      </c>
      <c r="C6" s="344"/>
      <c r="D6" s="344"/>
      <c r="E6" s="61" t="s">
        <v>117</v>
      </c>
      <c r="F6" s="338" t="s">
        <v>113</v>
      </c>
      <c r="G6" s="339"/>
      <c r="H6" s="339"/>
      <c r="I6" s="340"/>
      <c r="J6" s="329" t="s">
        <v>114</v>
      </c>
      <c r="K6" s="330"/>
      <c r="L6" s="330"/>
      <c r="M6" s="331"/>
      <c r="P6" s="323" t="s">
        <v>113</v>
      </c>
      <c r="Q6" s="324"/>
      <c r="R6" s="324"/>
      <c r="S6" s="323" t="s">
        <v>114</v>
      </c>
      <c r="T6" s="324"/>
      <c r="U6" s="324"/>
    </row>
    <row r="7" spans="2:21">
      <c r="B7" s="345"/>
      <c r="C7" s="152"/>
      <c r="D7" s="152"/>
      <c r="E7" s="62" t="s">
        <v>116</v>
      </c>
      <c r="F7" s="341">
        <f>+계약서!F15</f>
        <v>1400000</v>
      </c>
      <c r="G7" s="342"/>
      <c r="H7" s="64" t="s">
        <v>112</v>
      </c>
      <c r="I7" s="63"/>
      <c r="J7" s="341">
        <f>+계약서!H45</f>
        <v>1200000</v>
      </c>
      <c r="K7" s="342"/>
      <c r="L7" s="65" t="s">
        <v>112</v>
      </c>
      <c r="M7" s="68"/>
      <c r="P7" s="325" t="e">
        <f>+#REF!</f>
        <v>#REF!</v>
      </c>
      <c r="Q7" s="326"/>
      <c r="R7" s="56" t="s">
        <v>112</v>
      </c>
      <c r="S7" s="325" t="e">
        <f>P7-2000000</f>
        <v>#REF!</v>
      </c>
      <c r="T7" s="326"/>
      <c r="U7" s="56" t="s">
        <v>112</v>
      </c>
    </row>
    <row r="8" spans="2:21">
      <c r="B8" s="346"/>
      <c r="C8" s="347"/>
      <c r="D8" s="347"/>
      <c r="E8" s="62" t="s">
        <v>115</v>
      </c>
      <c r="F8" s="341">
        <f>F7*H12</f>
        <v>84000000</v>
      </c>
      <c r="G8" s="342"/>
      <c r="H8" s="64"/>
      <c r="I8" s="63"/>
      <c r="J8" s="341">
        <f>J7*F5</f>
        <v>72000000</v>
      </c>
      <c r="K8" s="342"/>
      <c r="L8" s="63"/>
      <c r="M8" s="68"/>
      <c r="P8" s="325" t="e">
        <f>+#REF!</f>
        <v>#REF!</v>
      </c>
      <c r="Q8" s="326"/>
      <c r="R8" s="56" t="s">
        <v>112</v>
      </c>
      <c r="S8" s="325" t="e">
        <f>P8-2000000</f>
        <v>#REF!</v>
      </c>
      <c r="T8" s="326"/>
      <c r="U8" s="56" t="s">
        <v>112</v>
      </c>
    </row>
    <row r="9" spans="2:21" ht="17.25" thickBot="1">
      <c r="B9" s="403" t="s">
        <v>26</v>
      </c>
      <c r="C9" s="404"/>
      <c r="D9" s="404"/>
      <c r="E9" s="404"/>
      <c r="F9" s="7" t="s">
        <v>22</v>
      </c>
      <c r="G9" s="399">
        <f>1-J9</f>
        <v>0</v>
      </c>
      <c r="H9" s="400"/>
      <c r="I9" s="7" t="s">
        <v>30</v>
      </c>
      <c r="J9" s="332">
        <v>1</v>
      </c>
      <c r="K9" s="333"/>
      <c r="L9" s="333"/>
      <c r="M9" s="334"/>
      <c r="P9" s="325"/>
      <c r="Q9" s="326"/>
      <c r="R9" s="56" t="s">
        <v>112</v>
      </c>
      <c r="S9" s="325"/>
      <c r="T9" s="326"/>
      <c r="U9" s="56" t="s">
        <v>112</v>
      </c>
    </row>
    <row r="10" spans="2:21" ht="17.25" thickBot="1"/>
    <row r="11" spans="2:21">
      <c r="B11" s="401" t="s">
        <v>50</v>
      </c>
      <c r="C11" s="402"/>
      <c r="D11" s="372" t="s">
        <v>18</v>
      </c>
      <c r="E11" s="373"/>
      <c r="F11" s="402"/>
      <c r="G11" s="69" t="s">
        <v>41</v>
      </c>
      <c r="H11" s="372" t="s">
        <v>47</v>
      </c>
      <c r="I11" s="373"/>
      <c r="J11" s="372" t="s">
        <v>34</v>
      </c>
      <c r="K11" s="373"/>
      <c r="L11" s="373"/>
      <c r="M11" s="374"/>
    </row>
    <row r="12" spans="2:21">
      <c r="B12" s="384" t="s">
        <v>42</v>
      </c>
      <c r="C12" s="385"/>
      <c r="D12" s="205" t="s">
        <v>17</v>
      </c>
      <c r="E12" s="206"/>
      <c r="F12" s="385"/>
      <c r="G12" s="28" t="s">
        <v>60</v>
      </c>
      <c r="H12" s="395">
        <f>+계약서!F14</f>
        <v>60</v>
      </c>
      <c r="I12" s="396"/>
      <c r="J12" s="205"/>
      <c r="K12" s="206"/>
      <c r="L12" s="206"/>
      <c r="M12" s="375"/>
    </row>
    <row r="13" spans="2:21">
      <c r="B13" s="384"/>
      <c r="C13" s="385"/>
      <c r="D13" s="205" t="s">
        <v>56</v>
      </c>
      <c r="E13" s="206"/>
      <c r="F13" s="385"/>
      <c r="G13" s="1" t="s">
        <v>57</v>
      </c>
      <c r="H13" s="397">
        <v>260</v>
      </c>
      <c r="I13" s="398"/>
      <c r="J13" s="376" t="s">
        <v>186</v>
      </c>
      <c r="K13" s="210"/>
      <c r="L13" s="210"/>
      <c r="M13" s="377"/>
    </row>
    <row r="14" spans="2:21">
      <c r="B14" s="384"/>
      <c r="C14" s="385"/>
      <c r="D14" s="406" t="s">
        <v>19</v>
      </c>
      <c r="E14" s="205" t="s">
        <v>3</v>
      </c>
      <c r="F14" s="385"/>
      <c r="G14" s="1" t="s">
        <v>21</v>
      </c>
      <c r="H14" s="407">
        <v>4</v>
      </c>
      <c r="I14" s="408"/>
      <c r="J14" s="205" t="s">
        <v>35</v>
      </c>
      <c r="K14" s="206"/>
      <c r="L14" s="206"/>
      <c r="M14" s="375"/>
    </row>
    <row r="15" spans="2:21">
      <c r="B15" s="384"/>
      <c r="C15" s="385"/>
      <c r="D15" s="406"/>
      <c r="E15" s="205" t="s">
        <v>16</v>
      </c>
      <c r="F15" s="385"/>
      <c r="G15" s="16" t="s">
        <v>20</v>
      </c>
      <c r="H15" s="405">
        <v>-4.0000000000000001E-3</v>
      </c>
      <c r="I15" s="406"/>
      <c r="J15" s="378" t="s">
        <v>173</v>
      </c>
      <c r="K15" s="379"/>
      <c r="L15" s="379"/>
      <c r="M15" s="380"/>
    </row>
    <row r="16" spans="2:21">
      <c r="B16" s="384" t="s">
        <v>37</v>
      </c>
      <c r="C16" s="385"/>
      <c r="D16" s="388" t="s">
        <v>2</v>
      </c>
      <c r="E16" s="351"/>
      <c r="F16" s="389"/>
      <c r="G16" s="107" t="s">
        <v>44</v>
      </c>
      <c r="H16" s="390">
        <v>80000</v>
      </c>
      <c r="I16" s="391"/>
      <c r="J16" s="350" t="s">
        <v>174</v>
      </c>
      <c r="K16" s="351"/>
      <c r="L16" s="351"/>
      <c r="M16" s="352"/>
    </row>
    <row r="17" spans="2:15" ht="17.25" thickBot="1">
      <c r="B17" s="386"/>
      <c r="C17" s="387"/>
      <c r="D17" s="392" t="s">
        <v>4</v>
      </c>
      <c r="E17" s="354"/>
      <c r="F17" s="387"/>
      <c r="G17" s="70" t="s">
        <v>44</v>
      </c>
      <c r="H17" s="393"/>
      <c r="I17" s="394"/>
      <c r="J17" s="353" t="s">
        <v>175</v>
      </c>
      <c r="K17" s="354"/>
      <c r="L17" s="354"/>
      <c r="M17" s="355"/>
    </row>
    <row r="18" spans="2:15" ht="17.25" thickBot="1">
      <c r="B18" s="2"/>
      <c r="C18" s="2"/>
      <c r="D18" s="2"/>
      <c r="E18" s="2"/>
      <c r="F18" s="108" t="s">
        <v>176</v>
      </c>
      <c r="G18" s="102"/>
      <c r="H18" s="103"/>
      <c r="I18" s="103"/>
      <c r="J18" s="97"/>
      <c r="K18" s="2"/>
      <c r="L18" s="2"/>
      <c r="M18" s="2"/>
    </row>
    <row r="19" spans="2:15">
      <c r="B19" s="315" t="s">
        <v>50</v>
      </c>
      <c r="C19" s="316"/>
      <c r="D19" s="317" t="s">
        <v>40</v>
      </c>
      <c r="E19" s="318"/>
      <c r="F19" s="316"/>
      <c r="G19" s="319" t="s">
        <v>202</v>
      </c>
      <c r="H19" s="320"/>
      <c r="I19" s="321"/>
      <c r="J19" s="317" t="s">
        <v>28</v>
      </c>
      <c r="K19" s="318"/>
      <c r="L19" s="318"/>
      <c r="M19" s="322"/>
    </row>
    <row r="20" spans="2:15">
      <c r="B20" s="306" t="s">
        <v>178</v>
      </c>
      <c r="C20" s="307"/>
      <c r="D20" s="308">
        <f>(H12*H14*30)*H13</f>
        <v>1872000</v>
      </c>
      <c r="E20" s="309"/>
      <c r="F20" s="310"/>
      <c r="G20" s="311">
        <f>G21/12</f>
        <v>80000</v>
      </c>
      <c r="H20" s="312"/>
      <c r="I20" s="313"/>
      <c r="J20" s="308">
        <f>J21/12</f>
        <v>1792000</v>
      </c>
      <c r="K20" s="309"/>
      <c r="L20" s="309"/>
      <c r="M20" s="314"/>
    </row>
    <row r="21" spans="2:15">
      <c r="B21" s="306" t="s">
        <v>177</v>
      </c>
      <c r="C21" s="307"/>
      <c r="D21" s="308">
        <f>D20*12</f>
        <v>22464000</v>
      </c>
      <c r="E21" s="309"/>
      <c r="F21" s="310"/>
      <c r="G21" s="311">
        <f>AVERAGE(예상수익표!D5:D14)</f>
        <v>960000</v>
      </c>
      <c r="H21" s="312"/>
      <c r="I21" s="313"/>
      <c r="J21" s="308">
        <f>D21-G21</f>
        <v>21504000</v>
      </c>
      <c r="K21" s="309"/>
      <c r="L21" s="309"/>
      <c r="M21" s="314"/>
    </row>
    <row r="22" spans="2:15" ht="17.25" thickBot="1">
      <c r="E22" s="26"/>
      <c r="F22" s="109" t="s">
        <v>150</v>
      </c>
    </row>
    <row r="23" spans="2:15">
      <c r="B23" s="315" t="s">
        <v>50</v>
      </c>
      <c r="C23" s="316"/>
      <c r="D23" s="317" t="s">
        <v>40</v>
      </c>
      <c r="E23" s="318"/>
      <c r="F23" s="316"/>
      <c r="G23" s="319" t="s">
        <v>202</v>
      </c>
      <c r="H23" s="320"/>
      <c r="I23" s="321"/>
      <c r="J23" s="317" t="s">
        <v>28</v>
      </c>
      <c r="K23" s="318"/>
      <c r="L23" s="318"/>
      <c r="M23" s="322"/>
    </row>
    <row r="24" spans="2:15">
      <c r="B24" s="381" t="s">
        <v>179</v>
      </c>
      <c r="C24" s="382"/>
      <c r="D24" s="365">
        <f>D25/12</f>
        <v>1872000</v>
      </c>
      <c r="E24" s="366"/>
      <c r="F24" s="383"/>
      <c r="G24" s="362">
        <f>H16</f>
        <v>80000</v>
      </c>
      <c r="H24" s="363"/>
      <c r="I24" s="364"/>
      <c r="J24" s="365">
        <f>D24-G24</f>
        <v>1792000</v>
      </c>
      <c r="K24" s="366"/>
      <c r="L24" s="366"/>
      <c r="M24" s="367"/>
    </row>
    <row r="25" spans="2:15">
      <c r="B25" s="381" t="s">
        <v>180</v>
      </c>
      <c r="C25" s="382"/>
      <c r="D25" s="365">
        <f>D21</f>
        <v>22464000</v>
      </c>
      <c r="E25" s="366"/>
      <c r="F25" s="383"/>
      <c r="G25" s="362">
        <f>G24*12</f>
        <v>960000</v>
      </c>
      <c r="H25" s="363"/>
      <c r="I25" s="364"/>
      <c r="J25" s="365">
        <f t="shared" ref="J25" si="0">D25-G25</f>
        <v>21504000</v>
      </c>
      <c r="K25" s="366"/>
      <c r="L25" s="366"/>
      <c r="M25" s="367"/>
    </row>
    <row r="26" spans="2:15" ht="17.25" thickBot="1">
      <c r="B26" s="421" t="s">
        <v>27</v>
      </c>
      <c r="C26" s="422"/>
      <c r="D26" s="368">
        <f>D25*20</f>
        <v>449280000</v>
      </c>
      <c r="E26" s="369"/>
      <c r="F26" s="370"/>
      <c r="G26" s="371">
        <f>SUM(예상수익표!D26:F26)</f>
        <v>126300000</v>
      </c>
      <c r="H26" s="363"/>
      <c r="I26" s="364"/>
      <c r="J26" s="365">
        <f>예상수익표!$H$26</f>
        <v>312318701.35961092</v>
      </c>
      <c r="K26" s="366"/>
      <c r="L26" s="366"/>
      <c r="M26" s="367"/>
      <c r="N26" s="17"/>
    </row>
    <row r="27" spans="2:15" ht="17.25" thickBot="1"/>
    <row r="28" spans="2:15">
      <c r="B28" s="315" t="s">
        <v>6</v>
      </c>
      <c r="C28" s="316"/>
      <c r="D28" s="412">
        <f>F5*F7</f>
        <v>84000000</v>
      </c>
      <c r="E28" s="413"/>
      <c r="F28" s="414"/>
      <c r="G28" s="317" t="s">
        <v>24</v>
      </c>
      <c r="H28" s="318"/>
      <c r="I28" s="316"/>
      <c r="J28" s="412">
        <f>F7*G9</f>
        <v>0</v>
      </c>
      <c r="K28" s="413"/>
      <c r="L28" s="413"/>
      <c r="M28" s="415"/>
    </row>
    <row r="29" spans="2:15">
      <c r="B29" s="416" t="s">
        <v>155</v>
      </c>
      <c r="C29" s="417"/>
      <c r="D29" s="356">
        <v>0.05</v>
      </c>
      <c r="E29" s="357"/>
      <c r="F29" s="357"/>
      <c r="G29" s="357"/>
      <c r="H29" s="357"/>
      <c r="I29" s="357"/>
      <c r="J29" s="357"/>
      <c r="K29" s="357"/>
      <c r="L29" s="357"/>
      <c r="M29" s="358"/>
      <c r="O29" s="26" t="s">
        <v>138</v>
      </c>
    </row>
    <row r="30" spans="2:15">
      <c r="B30" s="418" t="s">
        <v>8</v>
      </c>
      <c r="C30" s="417"/>
      <c r="D30" s="359" t="s">
        <v>140</v>
      </c>
      <c r="E30" s="360"/>
      <c r="F30" s="360"/>
      <c r="G30" s="360"/>
      <c r="H30" s="360"/>
      <c r="I30" s="360"/>
      <c r="J30" s="360"/>
      <c r="K30" s="360"/>
      <c r="L30" s="360"/>
      <c r="M30" s="361"/>
      <c r="O30">
        <v>10</v>
      </c>
    </row>
    <row r="31" spans="2:15" ht="17.25" thickBot="1">
      <c r="B31" s="419" t="s">
        <v>9</v>
      </c>
      <c r="C31" s="420"/>
      <c r="D31" s="409" t="s">
        <v>137</v>
      </c>
      <c r="E31" s="410"/>
      <c r="F31" s="410"/>
      <c r="G31" s="410"/>
      <c r="H31" s="410"/>
      <c r="I31" s="410"/>
      <c r="J31" s="410"/>
      <c r="K31" s="410"/>
      <c r="L31" s="410"/>
      <c r="M31" s="411"/>
    </row>
  </sheetData>
  <mergeCells count="85">
    <mergeCell ref="D31:M31"/>
    <mergeCell ref="D28:F28"/>
    <mergeCell ref="G28:I28"/>
    <mergeCell ref="J28:M28"/>
    <mergeCell ref="B25:C25"/>
    <mergeCell ref="D25:F25"/>
    <mergeCell ref="B28:C28"/>
    <mergeCell ref="B29:C29"/>
    <mergeCell ref="B30:C30"/>
    <mergeCell ref="B31:C31"/>
    <mergeCell ref="B26:C26"/>
    <mergeCell ref="H12:I12"/>
    <mergeCell ref="D13:F13"/>
    <mergeCell ref="H13:I13"/>
    <mergeCell ref="G9:H9"/>
    <mergeCell ref="B11:C11"/>
    <mergeCell ref="D11:F11"/>
    <mergeCell ref="H11:I11"/>
    <mergeCell ref="B9:E9"/>
    <mergeCell ref="B12:C15"/>
    <mergeCell ref="D12:F12"/>
    <mergeCell ref="H15:I15"/>
    <mergeCell ref="D14:D15"/>
    <mergeCell ref="E14:F14"/>
    <mergeCell ref="H14:I14"/>
    <mergeCell ref="E15:F15"/>
    <mergeCell ref="B16:C17"/>
    <mergeCell ref="D16:F16"/>
    <mergeCell ref="H16:I16"/>
    <mergeCell ref="D17:F17"/>
    <mergeCell ref="H17:I17"/>
    <mergeCell ref="B24:C24"/>
    <mergeCell ref="D24:F24"/>
    <mergeCell ref="G24:I24"/>
    <mergeCell ref="J24:M24"/>
    <mergeCell ref="B23:C23"/>
    <mergeCell ref="D23:F23"/>
    <mergeCell ref="J11:M11"/>
    <mergeCell ref="J12:M12"/>
    <mergeCell ref="J13:M13"/>
    <mergeCell ref="J14:M14"/>
    <mergeCell ref="J15:M15"/>
    <mergeCell ref="J16:M16"/>
    <mergeCell ref="J17:M17"/>
    <mergeCell ref="D29:M29"/>
    <mergeCell ref="D30:M30"/>
    <mergeCell ref="G25:I25"/>
    <mergeCell ref="J25:M25"/>
    <mergeCell ref="D26:F26"/>
    <mergeCell ref="G26:I26"/>
    <mergeCell ref="J26:M26"/>
    <mergeCell ref="G23:I23"/>
    <mergeCell ref="J23:M23"/>
    <mergeCell ref="J5:M5"/>
    <mergeCell ref="J6:M6"/>
    <mergeCell ref="J9:M9"/>
    <mergeCell ref="B1:M3"/>
    <mergeCell ref="B5:E5"/>
    <mergeCell ref="F6:I6"/>
    <mergeCell ref="J7:K7"/>
    <mergeCell ref="F7:G7"/>
    <mergeCell ref="F8:G8"/>
    <mergeCell ref="J8:K8"/>
    <mergeCell ref="B6:D8"/>
    <mergeCell ref="B4:M4"/>
    <mergeCell ref="P6:R6"/>
    <mergeCell ref="S6:U6"/>
    <mergeCell ref="P7:Q7"/>
    <mergeCell ref="S7:T7"/>
    <mergeCell ref="P9:Q9"/>
    <mergeCell ref="S9:T9"/>
    <mergeCell ref="P8:Q8"/>
    <mergeCell ref="S8:T8"/>
    <mergeCell ref="B21:C21"/>
    <mergeCell ref="D21:F21"/>
    <mergeCell ref="G21:I21"/>
    <mergeCell ref="J21:M21"/>
    <mergeCell ref="B19:C19"/>
    <mergeCell ref="D19:F19"/>
    <mergeCell ref="G19:I19"/>
    <mergeCell ref="J19:M19"/>
    <mergeCell ref="B20:C20"/>
    <mergeCell ref="D20:F20"/>
    <mergeCell ref="G20:I20"/>
    <mergeCell ref="J20:M20"/>
  </mergeCells>
  <phoneticPr fontId="15" type="noConversion"/>
  <pageMargins left="0.39370078740157483" right="0.23622047244094491" top="0.39370078740157483" bottom="0.39370078740157483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26"/>
  <sheetViews>
    <sheetView view="pageBreakPreview" zoomScaleNormal="100" zoomScaleSheetLayoutView="100" workbookViewId="0">
      <selection activeCell="C26" sqref="C26"/>
    </sheetView>
  </sheetViews>
  <sheetFormatPr defaultRowHeight="16.5"/>
  <cols>
    <col min="1" max="1" width="9" style="2" customWidth="1"/>
    <col min="2" max="7" width="15.625" style="18" customWidth="1"/>
    <col min="8" max="8" width="15.625" customWidth="1"/>
  </cols>
  <sheetData>
    <row r="1" spans="1:8">
      <c r="A1" s="335" t="s">
        <v>53</v>
      </c>
      <c r="B1" s="335"/>
      <c r="C1" s="335"/>
      <c r="D1" s="335"/>
      <c r="E1" s="335"/>
      <c r="F1" s="335"/>
      <c r="G1" s="335"/>
      <c r="H1" s="335"/>
    </row>
    <row r="2" spans="1:8" ht="17.25" thickBot="1">
      <c r="A2" s="335"/>
      <c r="B2" s="335"/>
      <c r="C2" s="335"/>
      <c r="D2" s="335"/>
      <c r="E2" s="335"/>
      <c r="F2" s="335"/>
      <c r="G2" s="335"/>
      <c r="H2" s="335"/>
    </row>
    <row r="3" spans="1:8" ht="17.45" customHeight="1">
      <c r="A3" s="426" t="s">
        <v>46</v>
      </c>
      <c r="B3" s="428" t="s">
        <v>70</v>
      </c>
      <c r="C3" s="46" t="s">
        <v>11</v>
      </c>
      <c r="D3" s="112" t="s">
        <v>38</v>
      </c>
      <c r="E3" s="432" t="s">
        <v>197</v>
      </c>
      <c r="F3" s="432"/>
      <c r="G3" s="432"/>
      <c r="H3" s="430" t="s">
        <v>1</v>
      </c>
    </row>
    <row r="4" spans="1:8" ht="17.45" customHeight="1">
      <c r="A4" s="427"/>
      <c r="B4" s="429"/>
      <c r="C4" s="20" t="s">
        <v>40</v>
      </c>
      <c r="D4" s="113" t="s">
        <v>43</v>
      </c>
      <c r="E4" s="122" t="s">
        <v>198</v>
      </c>
      <c r="F4" s="122" t="s">
        <v>199</v>
      </c>
      <c r="G4" s="123" t="s">
        <v>200</v>
      </c>
      <c r="H4" s="431"/>
    </row>
    <row r="5" spans="1:8" ht="17.45" customHeight="1">
      <c r="A5" s="110">
        <v>1</v>
      </c>
      <c r="B5" s="111">
        <f>계약서!E43*수익예상분석표!H14*365</f>
        <v>87600</v>
      </c>
      <c r="C5" s="19">
        <f>$B5*수익예상분석표!$H$13</f>
        <v>22776000</v>
      </c>
      <c r="D5" s="19">
        <f>수익예상분석표!$H$16*12</f>
        <v>960000</v>
      </c>
      <c r="E5" s="120">
        <f>계약서!$E$46/10</f>
        <v>8400000</v>
      </c>
      <c r="F5" s="120">
        <f>E26*수익예상분석표!$D$29</f>
        <v>4200000</v>
      </c>
      <c r="G5" s="120">
        <f>계약서!E46-예상수익표!E5</f>
        <v>75600000</v>
      </c>
      <c r="H5" s="121">
        <f>C5-SUM(D5:F5)</f>
        <v>9216000</v>
      </c>
    </row>
    <row r="6" spans="1:8" ht="17.45" customHeight="1">
      <c r="A6" s="110">
        <v>2</v>
      </c>
      <c r="B6" s="111">
        <f t="shared" ref="B6:B25" si="0">B5*(1-0.004)</f>
        <v>87249.600000000006</v>
      </c>
      <c r="C6" s="19">
        <f>$B6*수익예상분석표!$H$13</f>
        <v>22684896</v>
      </c>
      <c r="D6" s="19">
        <f>수익예상분석표!$H$16*12</f>
        <v>960000</v>
      </c>
      <c r="E6" s="120">
        <f>계약서!$E$46/10</f>
        <v>8400000</v>
      </c>
      <c r="F6" s="120">
        <f>G5*수익예상분석표!$D$29</f>
        <v>3780000</v>
      </c>
      <c r="G6" s="120">
        <f>G5-E6</f>
        <v>67200000</v>
      </c>
      <c r="H6" s="121">
        <f t="shared" ref="H6:H14" si="1">C6-SUM(D6:F6)</f>
        <v>9544896</v>
      </c>
    </row>
    <row r="7" spans="1:8" ht="17.45" customHeight="1">
      <c r="A7" s="110">
        <v>3</v>
      </c>
      <c r="B7" s="111">
        <f t="shared" si="0"/>
        <v>86900.601600000009</v>
      </c>
      <c r="C7" s="19">
        <f>$B7*수익예상분석표!$H$13</f>
        <v>22594156.416000001</v>
      </c>
      <c r="D7" s="19">
        <f>수익예상분석표!$H$16*12</f>
        <v>960000</v>
      </c>
      <c r="E7" s="120">
        <f>계약서!$E$46/10</f>
        <v>8400000</v>
      </c>
      <c r="F7" s="120">
        <f>G6*수익예상분석표!$D$29</f>
        <v>3360000</v>
      </c>
      <c r="G7" s="120">
        <f t="shared" ref="G7:G14" si="2">G6-E7</f>
        <v>58800000</v>
      </c>
      <c r="H7" s="121">
        <f t="shared" si="1"/>
        <v>9874156.4160000011</v>
      </c>
    </row>
    <row r="8" spans="1:8" ht="17.45" customHeight="1">
      <c r="A8" s="110">
        <v>4</v>
      </c>
      <c r="B8" s="111">
        <f t="shared" si="0"/>
        <v>86552.999193600015</v>
      </c>
      <c r="C8" s="19">
        <f>$B8*수익예상분석표!$H$13</f>
        <v>22503779.790336005</v>
      </c>
      <c r="D8" s="19">
        <f>수익예상분석표!$H$16*12</f>
        <v>960000</v>
      </c>
      <c r="E8" s="120">
        <f>계약서!$E$46/10</f>
        <v>8400000</v>
      </c>
      <c r="F8" s="120">
        <f>G7*수익예상분석표!$D$29</f>
        <v>2940000</v>
      </c>
      <c r="G8" s="120">
        <f t="shared" si="2"/>
        <v>50400000</v>
      </c>
      <c r="H8" s="121">
        <f t="shared" si="1"/>
        <v>10203779.790336005</v>
      </c>
    </row>
    <row r="9" spans="1:8" ht="17.45" customHeight="1">
      <c r="A9" s="110">
        <v>5</v>
      </c>
      <c r="B9" s="111">
        <f t="shared" si="0"/>
        <v>86206.787196825608</v>
      </c>
      <c r="C9" s="19">
        <f>$B9*수익예상분석표!$H$13</f>
        <v>22413764.671174657</v>
      </c>
      <c r="D9" s="19">
        <f>수익예상분석표!$H$16*12</f>
        <v>960000</v>
      </c>
      <c r="E9" s="120">
        <f>계약서!$E$46/10</f>
        <v>8400000</v>
      </c>
      <c r="F9" s="120">
        <f>G8*수익예상분석표!$D$29</f>
        <v>2520000</v>
      </c>
      <c r="G9" s="120">
        <f t="shared" si="2"/>
        <v>42000000</v>
      </c>
      <c r="H9" s="121">
        <f t="shared" si="1"/>
        <v>10533764.671174657</v>
      </c>
    </row>
    <row r="10" spans="1:8" ht="17.45" customHeight="1">
      <c r="A10" s="110">
        <v>6</v>
      </c>
      <c r="B10" s="111">
        <f t="shared" si="0"/>
        <v>85861.960048038309</v>
      </c>
      <c r="C10" s="19">
        <f>$B10*수익예상분석표!$H$13</f>
        <v>22324109.612489961</v>
      </c>
      <c r="D10" s="19">
        <f>수익예상분석표!$H$16*12</f>
        <v>960000</v>
      </c>
      <c r="E10" s="120">
        <f>계약서!$E$46/10</f>
        <v>8400000</v>
      </c>
      <c r="F10" s="120">
        <f>G9*수익예상분석표!$D$29</f>
        <v>2100000</v>
      </c>
      <c r="G10" s="120">
        <f t="shared" si="2"/>
        <v>33600000</v>
      </c>
      <c r="H10" s="121">
        <f t="shared" si="1"/>
        <v>10864109.612489961</v>
      </c>
    </row>
    <row r="11" spans="1:8" ht="17.45" customHeight="1">
      <c r="A11" s="110">
        <v>7</v>
      </c>
      <c r="B11" s="111">
        <f t="shared" si="0"/>
        <v>85518.512207846157</v>
      </c>
      <c r="C11" s="19">
        <f>$B11*수익예상분석표!$H$13</f>
        <v>22234813.174040001</v>
      </c>
      <c r="D11" s="19">
        <f>수익예상분석표!$H$16*12</f>
        <v>960000</v>
      </c>
      <c r="E11" s="120">
        <f>계약서!$E$46/10</f>
        <v>8400000</v>
      </c>
      <c r="F11" s="120">
        <f>G10*수익예상분석표!$D$29</f>
        <v>1680000</v>
      </c>
      <c r="G11" s="120">
        <f t="shared" si="2"/>
        <v>25200000</v>
      </c>
      <c r="H11" s="121">
        <f t="shared" si="1"/>
        <v>11194813.174040001</v>
      </c>
    </row>
    <row r="12" spans="1:8" ht="17.45" customHeight="1">
      <c r="A12" s="110">
        <v>8</v>
      </c>
      <c r="B12" s="111">
        <f t="shared" si="0"/>
        <v>85176.438159014768</v>
      </c>
      <c r="C12" s="19">
        <f>$B12*수익예상분석표!$H$13</f>
        <v>22145873.921343841</v>
      </c>
      <c r="D12" s="19">
        <f>수익예상분석표!$H$16*12</f>
        <v>960000</v>
      </c>
      <c r="E12" s="120">
        <f>계약서!$E$46/10</f>
        <v>8400000</v>
      </c>
      <c r="F12" s="120">
        <f>G11*수익예상분석표!$D$29</f>
        <v>1260000</v>
      </c>
      <c r="G12" s="120">
        <f t="shared" si="2"/>
        <v>16800000</v>
      </c>
      <c r="H12" s="121">
        <f t="shared" si="1"/>
        <v>11525873.921343841</v>
      </c>
    </row>
    <row r="13" spans="1:8" ht="17.45" customHeight="1">
      <c r="A13" s="110">
        <v>9</v>
      </c>
      <c r="B13" s="111">
        <f t="shared" si="0"/>
        <v>84835.732406378709</v>
      </c>
      <c r="C13" s="19">
        <f>$B13*수익예상분석표!$H$13</f>
        <v>22057290.425658464</v>
      </c>
      <c r="D13" s="19">
        <f>수익예상분석표!$H$16*12</f>
        <v>960000</v>
      </c>
      <c r="E13" s="120">
        <f>계약서!$E$46/10</f>
        <v>8400000</v>
      </c>
      <c r="F13" s="120">
        <f>G12*수익예상분석표!$D$29</f>
        <v>840000</v>
      </c>
      <c r="G13" s="120">
        <f t="shared" si="2"/>
        <v>8400000</v>
      </c>
      <c r="H13" s="121">
        <f t="shared" si="1"/>
        <v>11857290.425658464</v>
      </c>
    </row>
    <row r="14" spans="1:8" ht="17.45" customHeight="1">
      <c r="A14" s="110">
        <v>10</v>
      </c>
      <c r="B14" s="111">
        <f>B13*(1-0.004)</f>
        <v>84496.389476753189</v>
      </c>
      <c r="C14" s="19">
        <f>$B14*수익예상분석표!$H$13</f>
        <v>21969061.263955828</v>
      </c>
      <c r="D14" s="19">
        <f>수익예상분석표!$H$16*12</f>
        <v>960000</v>
      </c>
      <c r="E14" s="120">
        <f>계약서!$E$46/10</f>
        <v>8400000</v>
      </c>
      <c r="F14" s="120">
        <f>G13*수익예상분석표!$D$29</f>
        <v>420000</v>
      </c>
      <c r="G14" s="120">
        <f t="shared" si="2"/>
        <v>0</v>
      </c>
      <c r="H14" s="121">
        <f t="shared" si="1"/>
        <v>12189061.263955828</v>
      </c>
    </row>
    <row r="15" spans="1:8" ht="25.5" customHeight="1">
      <c r="A15" s="423" t="s">
        <v>201</v>
      </c>
      <c r="B15" s="424"/>
      <c r="C15" s="424"/>
      <c r="D15" s="424"/>
      <c r="E15" s="424"/>
      <c r="F15" s="424"/>
      <c r="G15" s="424"/>
      <c r="H15" s="425"/>
    </row>
    <row r="16" spans="1:8" ht="17.45" customHeight="1">
      <c r="A16" s="32">
        <v>11</v>
      </c>
      <c r="B16" s="19">
        <f>B14*(1-0.004)</f>
        <v>84158.403918846176</v>
      </c>
      <c r="C16" s="19">
        <f>$B16*수익예상분석표!$H$13</f>
        <v>21881185.018900007</v>
      </c>
      <c r="D16" s="19">
        <f>수익예상분석표!$H$16*12</f>
        <v>960000</v>
      </c>
      <c r="E16" s="19">
        <v>0</v>
      </c>
      <c r="F16" s="19">
        <v>0</v>
      </c>
      <c r="G16" s="19">
        <v>0</v>
      </c>
      <c r="H16" s="121">
        <f>C16-SUM(D16:F16)</f>
        <v>20921185.018900007</v>
      </c>
    </row>
    <row r="17" spans="1:8" ht="17.45" customHeight="1">
      <c r="A17" s="32">
        <v>12</v>
      </c>
      <c r="B17" s="19">
        <f t="shared" si="0"/>
        <v>83821.770303170793</v>
      </c>
      <c r="C17" s="19">
        <f>$B17*수익예상분석표!$H$13</f>
        <v>21793660.278824408</v>
      </c>
      <c r="D17" s="19">
        <f>수익예상분석표!$H$16*12</f>
        <v>960000</v>
      </c>
      <c r="E17" s="19">
        <v>0</v>
      </c>
      <c r="F17" s="19">
        <v>0</v>
      </c>
      <c r="G17" s="19">
        <v>0</v>
      </c>
      <c r="H17" s="121">
        <f t="shared" ref="H17:H25" si="3">C17-SUM(D17:F17)</f>
        <v>20833660.278824408</v>
      </c>
    </row>
    <row r="18" spans="1:8" ht="17.45" customHeight="1">
      <c r="A18" s="32">
        <v>13</v>
      </c>
      <c r="B18" s="19">
        <f t="shared" si="0"/>
        <v>83486.483221958115</v>
      </c>
      <c r="C18" s="19">
        <f>$B18*수익예상분석표!$H$13</f>
        <v>21706485.637709111</v>
      </c>
      <c r="D18" s="19">
        <f>수익예상분석표!$H$16*12</f>
        <v>960000</v>
      </c>
      <c r="E18" s="19">
        <v>0</v>
      </c>
      <c r="F18" s="19">
        <v>0</v>
      </c>
      <c r="G18" s="19">
        <v>0</v>
      </c>
      <c r="H18" s="121">
        <f t="shared" si="3"/>
        <v>20746485.637709111</v>
      </c>
    </row>
    <row r="19" spans="1:8" ht="17.45" customHeight="1">
      <c r="A19" s="32">
        <v>14</v>
      </c>
      <c r="B19" s="19">
        <f t="shared" si="0"/>
        <v>83152.537289070286</v>
      </c>
      <c r="C19" s="19">
        <f>$B19*수익예상분석표!$H$13</f>
        <v>21619659.695158273</v>
      </c>
      <c r="D19" s="19">
        <f>수익예상분석표!$H$16*12</f>
        <v>960000</v>
      </c>
      <c r="E19" s="19">
        <v>0</v>
      </c>
      <c r="F19" s="19">
        <v>0</v>
      </c>
      <c r="G19" s="19">
        <v>0</v>
      </c>
      <c r="H19" s="121">
        <f t="shared" si="3"/>
        <v>20659659.695158273</v>
      </c>
    </row>
    <row r="20" spans="1:8" ht="17.45" customHeight="1">
      <c r="A20" s="32">
        <v>15</v>
      </c>
      <c r="B20" s="19">
        <f t="shared" si="0"/>
        <v>82819.927139913998</v>
      </c>
      <c r="C20" s="19">
        <f>$B20*수익예상분석표!$H$13</f>
        <v>21533181.056377638</v>
      </c>
      <c r="D20" s="19">
        <f>수익예상분석표!$H$16*12</f>
        <v>960000</v>
      </c>
      <c r="E20" s="19">
        <v>0</v>
      </c>
      <c r="F20" s="19">
        <v>0</v>
      </c>
      <c r="G20" s="19">
        <v>0</v>
      </c>
      <c r="H20" s="121">
        <f t="shared" si="3"/>
        <v>20573181.056377638</v>
      </c>
    </row>
    <row r="21" spans="1:8" ht="17.45" customHeight="1">
      <c r="A21" s="32">
        <v>16</v>
      </c>
      <c r="B21" s="19">
        <f t="shared" si="0"/>
        <v>82488.647431354344</v>
      </c>
      <c r="C21" s="19">
        <f>$B21*수익예상분석표!$H$13</f>
        <v>21447048.332152128</v>
      </c>
      <c r="D21" s="19">
        <f>수익예상분석표!$H$16*12</f>
        <v>960000</v>
      </c>
      <c r="E21" s="19">
        <v>0</v>
      </c>
      <c r="F21" s="19">
        <v>0</v>
      </c>
      <c r="G21" s="19">
        <v>0</v>
      </c>
      <c r="H21" s="121">
        <f t="shared" si="3"/>
        <v>20487048.332152128</v>
      </c>
    </row>
    <row r="22" spans="1:8" ht="17.45" customHeight="1">
      <c r="A22" s="32">
        <v>17</v>
      </c>
      <c r="B22" s="19">
        <f t="shared" si="0"/>
        <v>82158.69284162893</v>
      </c>
      <c r="C22" s="19">
        <f>$B22*수익예상분석표!$H$13</f>
        <v>21361260.13882352</v>
      </c>
      <c r="D22" s="19">
        <f>수익예상분석표!$H$16*12</f>
        <v>960000</v>
      </c>
      <c r="E22" s="19">
        <v>0</v>
      </c>
      <c r="F22" s="19">
        <v>0</v>
      </c>
      <c r="G22" s="19">
        <v>0</v>
      </c>
      <c r="H22" s="121">
        <f t="shared" si="3"/>
        <v>20401260.13882352</v>
      </c>
    </row>
    <row r="23" spans="1:8" ht="17.45" customHeight="1">
      <c r="A23" s="32">
        <v>18</v>
      </c>
      <c r="B23" s="19">
        <f t="shared" si="0"/>
        <v>81830.058070262414</v>
      </c>
      <c r="C23" s="19">
        <f>$B23*수익예상분석표!$H$13</f>
        <v>21275815.098268226</v>
      </c>
      <c r="D23" s="19">
        <f>수익예상분석표!$H$16*12</f>
        <v>960000</v>
      </c>
      <c r="E23" s="19">
        <v>0</v>
      </c>
      <c r="F23" s="19">
        <v>0</v>
      </c>
      <c r="G23" s="19">
        <v>0</v>
      </c>
      <c r="H23" s="121">
        <f t="shared" si="3"/>
        <v>20315815.098268226</v>
      </c>
    </row>
    <row r="24" spans="1:8" ht="17.45" customHeight="1">
      <c r="A24" s="32">
        <v>19</v>
      </c>
      <c r="B24" s="19">
        <f t="shared" si="0"/>
        <v>81502.73783798136</v>
      </c>
      <c r="C24" s="19">
        <f>$B24*수익예상분석표!$H$13</f>
        <v>21190711.837875154</v>
      </c>
      <c r="D24" s="19">
        <f>수익예상분석표!$H$16*12</f>
        <v>960000</v>
      </c>
      <c r="E24" s="19">
        <v>0</v>
      </c>
      <c r="F24" s="19">
        <v>0</v>
      </c>
      <c r="G24" s="19">
        <v>0</v>
      </c>
      <c r="H24" s="121">
        <f t="shared" si="3"/>
        <v>20230711.837875154</v>
      </c>
    </row>
    <row r="25" spans="1:8" ht="17.45" customHeight="1">
      <c r="A25" s="32">
        <v>20</v>
      </c>
      <c r="B25" s="19">
        <f t="shared" si="0"/>
        <v>81176.726886629433</v>
      </c>
      <c r="C25" s="19">
        <f>$B25*수익예상분석표!$H$13</f>
        <v>21105948.990523651</v>
      </c>
      <c r="D25" s="19">
        <f>수익예상분석표!$H$16*12</f>
        <v>960000</v>
      </c>
      <c r="E25" s="19">
        <v>0</v>
      </c>
      <c r="F25" s="19">
        <v>0</v>
      </c>
      <c r="G25" s="19">
        <v>0</v>
      </c>
      <c r="H25" s="121">
        <f t="shared" si="3"/>
        <v>20145948.990523651</v>
      </c>
    </row>
    <row r="26" spans="1:8" ht="33" customHeight="1" thickBot="1">
      <c r="A26" s="106" t="s">
        <v>49</v>
      </c>
      <c r="B26" s="114">
        <f t="shared" ref="B26:H26" si="4">SUM(B16:B25,B5:B14)</f>
        <v>1686995.0052292729</v>
      </c>
      <c r="C26" s="115">
        <f t="shared" si="4"/>
        <v>438618701.35961092</v>
      </c>
      <c r="D26" s="115">
        <f t="shared" si="4"/>
        <v>19200000</v>
      </c>
      <c r="E26" s="115">
        <f t="shared" si="4"/>
        <v>84000000</v>
      </c>
      <c r="F26" s="115">
        <f t="shared" si="4"/>
        <v>23100000</v>
      </c>
      <c r="G26" s="115">
        <f t="shared" si="4"/>
        <v>378000000</v>
      </c>
      <c r="H26" s="116">
        <f t="shared" si="4"/>
        <v>312318701.35961092</v>
      </c>
    </row>
  </sheetData>
  <mergeCells count="6">
    <mergeCell ref="A15:H15"/>
    <mergeCell ref="A1:H2"/>
    <mergeCell ref="A3:A4"/>
    <mergeCell ref="B3:B4"/>
    <mergeCell ref="H3:H4"/>
    <mergeCell ref="E3:G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계약서</vt:lpstr>
      <vt:lpstr>견적서</vt:lpstr>
      <vt:lpstr>수익예상분석표</vt:lpstr>
      <vt:lpstr>예상수익표</vt:lpstr>
      <vt:lpstr>견적서!Print_Area</vt:lpstr>
      <vt:lpstr>계약서!Print_Area</vt:lpstr>
      <vt:lpstr>수익예상분석표!Print_Area</vt:lpstr>
      <vt:lpstr>예상수익표!Print_Area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그린쏠라</dc:creator>
  <cp:lastModifiedBy>user</cp:lastModifiedBy>
  <cp:revision>14</cp:revision>
  <cp:lastPrinted>2026-04-22T08:10:22Z</cp:lastPrinted>
  <dcterms:created xsi:type="dcterms:W3CDTF">2023-04-05T05:01:36Z</dcterms:created>
  <dcterms:modified xsi:type="dcterms:W3CDTF">2026-04-24T02:46:59Z</dcterms:modified>
</cp:coreProperties>
</file>